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2820" yWindow="1950" windowWidth="12540" windowHeight="8325" activeTab="0"/>
  </bookViews>
  <sheets>
    <sheet name="MAIN" sheetId="1" r:id="rId1"/>
    <sheet name="PRINT" sheetId="2" r:id="rId2"/>
    <sheet name="SCORECARD" sheetId="3" r:id="rId3"/>
    <sheet name="SCORES &amp; HANDICAP CALCULATOR" sheetId="4" r:id="rId4"/>
    <sheet name="SCHEDULE &amp; POINTS" sheetId="5" r:id="rId5"/>
    <sheet name="POINTS - FIRST HALF" sheetId="6" r:id="rId6"/>
    <sheet name="SCORE ENTRY WORKSHEET" sheetId="7" r:id="rId7"/>
  </sheets>
  <definedNames>
    <definedName name="_xlnm.Print_Area" localSheetId="5">'POINTS - FIRST HALF'!$B$3:$I$14</definedName>
    <definedName name="_xlnm.Print_Area" localSheetId="4">'SCHEDULE &amp; POINTS'!$B$3:$I$14</definedName>
    <definedName name="_xlnm.Print_Area" localSheetId="6">'SCORE ENTRY WORKSHEET'!$A$1:$M$53</definedName>
    <definedName name="_xlnm.Print_Area" localSheetId="2">'SCORECARD'!$A$1:$M$300</definedName>
  </definedNames>
  <calcPr fullCalcOnLoad="1"/>
</workbook>
</file>

<file path=xl/sharedStrings.xml><?xml version="1.0" encoding="utf-8"?>
<sst xmlns="http://schemas.openxmlformats.org/spreadsheetml/2006/main" count="556" uniqueCount="292">
  <si>
    <t>HCP</t>
  </si>
  <si>
    <t>TEAM</t>
  </si>
  <si>
    <t>1A</t>
  </si>
  <si>
    <t>1B</t>
  </si>
  <si>
    <t>Gary Bittner</t>
  </si>
  <si>
    <t>Mike Dauphinais</t>
  </si>
  <si>
    <t>10A</t>
  </si>
  <si>
    <t>10B</t>
  </si>
  <si>
    <t>Joe Pearson</t>
  </si>
  <si>
    <t>WOODS AT WESTMINSTER</t>
  </si>
  <si>
    <t>HOLE</t>
  </si>
  <si>
    <t>WHITE</t>
  </si>
  <si>
    <t>RED</t>
  </si>
  <si>
    <t>WOMEN'S HCP</t>
  </si>
  <si>
    <t>Gary Leavenworth</t>
  </si>
  <si>
    <t xml:space="preserve">WOMEN'S PAR    </t>
  </si>
  <si>
    <t xml:space="preserve">MEN'S HCP    </t>
  </si>
  <si>
    <t xml:space="preserve">MEN'S PAR    </t>
  </si>
  <si>
    <t>Week 1</t>
  </si>
  <si>
    <t>Week 2</t>
  </si>
  <si>
    <t>Week 3</t>
  </si>
  <si>
    <t>Week 4</t>
  </si>
  <si>
    <t>Week 5</t>
  </si>
  <si>
    <t>Week 6</t>
  </si>
  <si>
    <t>Week 7</t>
  </si>
  <si>
    <t>4 v 2</t>
  </si>
  <si>
    <t>8 v 9</t>
  </si>
  <si>
    <t>10 v 11</t>
  </si>
  <si>
    <t>8 v 11</t>
  </si>
  <si>
    <t>2 v 7</t>
  </si>
  <si>
    <t>6A</t>
  </si>
  <si>
    <t>6B</t>
  </si>
  <si>
    <t>Peg Romano</t>
  </si>
  <si>
    <t>Lynn Laroche</t>
  </si>
  <si>
    <t>2A</t>
  </si>
  <si>
    <t>2B</t>
  </si>
  <si>
    <t>Ralph Romano</t>
  </si>
  <si>
    <t>3A</t>
  </si>
  <si>
    <t>3B</t>
  </si>
  <si>
    <t>4A</t>
  </si>
  <si>
    <t>Paul Fontaine</t>
  </si>
  <si>
    <t>4B</t>
  </si>
  <si>
    <t>5A</t>
  </si>
  <si>
    <t>Pete Normandin</t>
  </si>
  <si>
    <t>5B</t>
  </si>
  <si>
    <t>Lester Lockhart</t>
  </si>
  <si>
    <t>7A</t>
  </si>
  <si>
    <t>7B</t>
  </si>
  <si>
    <t>8A</t>
  </si>
  <si>
    <t>8B</t>
  </si>
  <si>
    <t>9A</t>
  </si>
  <si>
    <t>Ken Morris</t>
  </si>
  <si>
    <t>9B</t>
  </si>
  <si>
    <t>11A</t>
  </si>
  <si>
    <t>11B</t>
  </si>
  <si>
    <t>Yogi DiPasquale</t>
  </si>
  <si>
    <t>12A</t>
  </si>
  <si>
    <t>12B</t>
  </si>
  <si>
    <t>Pete Romano</t>
  </si>
  <si>
    <t>FRONT</t>
  </si>
  <si>
    <t>BACK</t>
  </si>
  <si>
    <t>Team</t>
  </si>
  <si>
    <t>Points</t>
  </si>
  <si>
    <t>Schedule</t>
  </si>
  <si>
    <t>Week</t>
  </si>
  <si>
    <t>Date</t>
  </si>
  <si>
    <t>Side</t>
  </si>
  <si>
    <t xml:space="preserve">   Team</t>
  </si>
  <si>
    <t>Total</t>
  </si>
  <si>
    <t>Team 12</t>
  </si>
  <si>
    <t>Team 01</t>
  </si>
  <si>
    <t>Team 02</t>
  </si>
  <si>
    <t>Team 03</t>
  </si>
  <si>
    <t>Team 04</t>
  </si>
  <si>
    <t>Team 05</t>
  </si>
  <si>
    <t>Team 06</t>
  </si>
  <si>
    <t>Team 07</t>
  </si>
  <si>
    <t>Team 08</t>
  </si>
  <si>
    <t>Team 09</t>
  </si>
  <si>
    <t>Team 10</t>
  </si>
  <si>
    <t>Team 11</t>
  </si>
  <si>
    <t>S1</t>
  </si>
  <si>
    <t>S2</t>
  </si>
  <si>
    <t>S3</t>
  </si>
  <si>
    <t>S4</t>
  </si>
  <si>
    <t>"</t>
  </si>
  <si>
    <t>Rank</t>
  </si>
  <si>
    <t>+/-</t>
  </si>
  <si>
    <t>Men's Hcp. Rank</t>
  </si>
  <si>
    <t>Women's Hcp. Rank</t>
  </si>
  <si>
    <t>Match Results                                                  Match Results                                                  Match Results                                           Match Results                                                  Match Results</t>
  </si>
  <si>
    <t>Course</t>
  </si>
  <si>
    <t>DNP</t>
  </si>
  <si>
    <t>Partner Did Not Play</t>
  </si>
  <si>
    <t>Player A</t>
  </si>
  <si>
    <t>Player B</t>
  </si>
  <si>
    <t>Versus Team</t>
  </si>
  <si>
    <t>Versus Course</t>
  </si>
  <si>
    <t>Score to Use</t>
  </si>
  <si>
    <t>Score 1</t>
  </si>
  <si>
    <t>Score 2</t>
  </si>
  <si>
    <t>Score 3</t>
  </si>
  <si>
    <t>Score 4</t>
  </si>
  <si>
    <t>Score 5</t>
  </si>
  <si>
    <t>Score 6</t>
  </si>
  <si>
    <t>Score 7</t>
  </si>
  <si>
    <t>..</t>
  </si>
  <si>
    <t>M/F</t>
  </si>
  <si>
    <t>M</t>
  </si>
  <si>
    <t>F</t>
  </si>
  <si>
    <t>Score 8</t>
  </si>
  <si>
    <t>Score 9</t>
  </si>
  <si>
    <t>Score 10</t>
  </si>
  <si>
    <t>Score 11</t>
  </si>
  <si>
    <t>Score 12</t>
  </si>
  <si>
    <t>Score 13</t>
  </si>
  <si>
    <t>Score 14</t>
  </si>
  <si>
    <t>Tee Time</t>
  </si>
  <si>
    <t>11 v 3</t>
  </si>
  <si>
    <t>7 v 4</t>
  </si>
  <si>
    <t>Doug Cormier</t>
  </si>
  <si>
    <t>Steve Romano</t>
  </si>
  <si>
    <t>Judy Carr</t>
  </si>
  <si>
    <t>2 v 12</t>
  </si>
  <si>
    <t>3 v 4</t>
  </si>
  <si>
    <t>1 v 2</t>
  </si>
  <si>
    <t>5 v 6</t>
  </si>
  <si>
    <t>7 v 8</t>
  </si>
  <si>
    <t>9 v 11</t>
  </si>
  <si>
    <t>10 v 12</t>
  </si>
  <si>
    <t>8 v 10</t>
  </si>
  <si>
    <t>4 v 11</t>
  </si>
  <si>
    <t>7 v 5</t>
  </si>
  <si>
    <t>6 v 9</t>
  </si>
  <si>
    <t>3 v 1</t>
  </si>
  <si>
    <t>1 v 4</t>
  </si>
  <si>
    <t>2 v 3</t>
  </si>
  <si>
    <t>5 v 10</t>
  </si>
  <si>
    <t>11 v 6</t>
  </si>
  <si>
    <t>7 v 12</t>
  </si>
  <si>
    <t>3 v 7</t>
  </si>
  <si>
    <t>9 v 10</t>
  </si>
  <si>
    <t>1 v 5</t>
  </si>
  <si>
    <t>6 v 12</t>
  </si>
  <si>
    <t>6 v 10</t>
  </si>
  <si>
    <t>9 v 1</t>
  </si>
  <si>
    <t>8 v 2</t>
  </si>
  <si>
    <t>12 v 5</t>
  </si>
  <si>
    <t>9 v 3</t>
  </si>
  <si>
    <t>4 v 5</t>
  </si>
  <si>
    <t>7 v 1</t>
  </si>
  <si>
    <t>6 v 2</t>
  </si>
  <si>
    <t>8 v 12</t>
  </si>
  <si>
    <t>1 v 8</t>
  </si>
  <si>
    <t>3 v 10</t>
  </si>
  <si>
    <t>4 v 6</t>
  </si>
  <si>
    <t>5 v 9</t>
  </si>
  <si>
    <t>11 v 12</t>
  </si>
  <si>
    <t>Patty Leavenworth</t>
  </si>
  <si>
    <t>Dennis Normandin</t>
  </si>
  <si>
    <t>Marc Normandin</t>
  </si>
  <si>
    <t>Dave Cormier</t>
  </si>
  <si>
    <t>Norman Boisvert</t>
  </si>
  <si>
    <t>Walter Drake</t>
  </si>
  <si>
    <t>John Cassin</t>
  </si>
  <si>
    <t>Mike Marlborough</t>
  </si>
  <si>
    <t xml:space="preserve">          345-2921</t>
  </si>
  <si>
    <t xml:space="preserve">          928-4003</t>
  </si>
  <si>
    <t xml:space="preserve">          874-2921</t>
  </si>
  <si>
    <t xml:space="preserve">          827-1453</t>
  </si>
  <si>
    <t>Mike Romano</t>
  </si>
  <si>
    <t>Rich Wilson</t>
  </si>
  <si>
    <t>Team 07 def. Team 12, 6.0 - 3.0</t>
  </si>
  <si>
    <t>Team 10 def. Team 05, 5.0 - 4.0</t>
  </si>
  <si>
    <t>Team 04 def. Team 01, 5.5 - 3.5</t>
  </si>
  <si>
    <t>Team 02 def. Team 03, 6.5 - 2.5</t>
  </si>
  <si>
    <t>Team 11 def. Team 06, 6.0 - 0.0</t>
  </si>
  <si>
    <t>Hcp.</t>
  </si>
  <si>
    <t>S5</t>
  </si>
  <si>
    <t>S6</t>
  </si>
  <si>
    <t>PJ Fontaine</t>
  </si>
  <si>
    <t>PJ Romano</t>
  </si>
  <si>
    <t>Team 03 def. Team 07, 5.0 - 4.0</t>
  </si>
  <si>
    <t>Team 09 def. Team 10, 5.5 - 3.5</t>
  </si>
  <si>
    <t>Team 04 and Team 02 tie, 4.5 - 4.5</t>
  </si>
  <si>
    <t>Team 08 def. Team 11, 7.0 - 2.0</t>
  </si>
  <si>
    <t>Team 01 def. Team 05, 5.0 - 4.0</t>
  </si>
  <si>
    <t>Team 12 def. Team 06, 6.0 - 3.0</t>
  </si>
  <si>
    <t>Team 08 def. Team 09, 6.0 - 3.0</t>
  </si>
  <si>
    <t>Team 06 def. Team 10, 9.0 - 0.0</t>
  </si>
  <si>
    <t>Team 09 def. Team 01, 7.5 - 1.5</t>
  </si>
  <si>
    <t>Team 08 and Team 02 tie, 4.5 - 4.5</t>
  </si>
  <si>
    <t>Team 05 def. Team 12, 6.0 - 3.0</t>
  </si>
  <si>
    <t>Team 03 def. Team 11, 6.5 - 2.5</t>
  </si>
  <si>
    <t>Team 07 and Team 04 tie, 0.0 - 0.0</t>
  </si>
  <si>
    <t>Team 07 def. Team 02, 6.0 - 3.0</t>
  </si>
  <si>
    <t>Team 08 def. Team 01, 6.0 - 3.0</t>
  </si>
  <si>
    <t>Team 03 def. Team 10, 6.5 - 0.0</t>
  </si>
  <si>
    <t>Team 04 and Team 06 tie, 4.5 - 4.5</t>
  </si>
  <si>
    <t>Team 09 def. Team 05, 5.0 - 4.0</t>
  </si>
  <si>
    <t>Team 05 and Team 09 tie, 0.0 - 0.0</t>
  </si>
  <si>
    <t>Team 11 def. Team 12, 6.0 - 3.0</t>
  </si>
  <si>
    <t>Match Results                                                  Match Results                                                  Match Results                                           Match Results                                                  Match Resu</t>
  </si>
  <si>
    <t>Team 11 and Team 12 tie, 0.0 - 0.0</t>
  </si>
  <si>
    <t>08  Paul Fontaine/Yogi DiPasquale</t>
  </si>
  <si>
    <t>09  Doug Cormier/Joe Pearson</t>
  </si>
  <si>
    <t>03  Ralph Romano/Mike Romano</t>
  </si>
  <si>
    <t>02  Lester Lockhart/Pete Normandin</t>
  </si>
  <si>
    <t>05  Gary Leavenworth/Patty Leavenworth</t>
  </si>
  <si>
    <t>6T</t>
  </si>
  <si>
    <t>06  Dennis Normandin/Marc Normandin</t>
  </si>
  <si>
    <t>11  Walter Drake/John Cassin</t>
  </si>
  <si>
    <t>07  Pete Romano/Ralph Romano</t>
  </si>
  <si>
    <t>12  Mike Marlborough/Rich Wilson</t>
  </si>
  <si>
    <t>04  Peg Romano/Lynn Laroche</t>
  </si>
  <si>
    <t>01  Gary Bittner/Mike Dauphinais</t>
  </si>
  <si>
    <t>10  Dave Cormier/Norman Boisvert</t>
  </si>
  <si>
    <t>PLAY OFFS</t>
  </si>
  <si>
    <t>BETWEEN</t>
  </si>
  <si>
    <t>FIRST HALF &amp;</t>
  </si>
  <si>
    <t>SECOND HALF</t>
  </si>
  <si>
    <t>NECESSARY</t>
  </si>
  <si>
    <t>4 v 10</t>
  </si>
  <si>
    <t>3 v 8</t>
  </si>
  <si>
    <t>9 v 12</t>
  </si>
  <si>
    <t>5 v 11</t>
  </si>
  <si>
    <t>4 v 8</t>
  </si>
  <si>
    <t>1 v 10</t>
  </si>
  <si>
    <t>2 v 9</t>
  </si>
  <si>
    <t>3 v 5</t>
  </si>
  <si>
    <t>4 v 9</t>
  </si>
  <si>
    <t>2 v 11</t>
  </si>
  <si>
    <t>7 v 10</t>
  </si>
  <si>
    <t>1 v 12</t>
  </si>
  <si>
    <t>Schedule - Second Half</t>
  </si>
  <si>
    <t>Playoffs</t>
  </si>
  <si>
    <t>Closest to Pin</t>
  </si>
  <si>
    <t>Standings - Second Half</t>
  </si>
  <si>
    <t>WINNERS, IF</t>
  </si>
  <si>
    <t>Final Standings - First Half</t>
  </si>
  <si>
    <t>1 v 6</t>
  </si>
  <si>
    <t>1 v 3</t>
  </si>
  <si>
    <t>2 v 4</t>
  </si>
  <si>
    <t>2 v 5</t>
  </si>
  <si>
    <t>7 v 11</t>
  </si>
  <si>
    <t>6 v 7</t>
  </si>
  <si>
    <t>1 v 11</t>
  </si>
  <si>
    <t>3 v 6</t>
  </si>
  <si>
    <t>5 v 8</t>
  </si>
  <si>
    <t>4 v 12</t>
  </si>
  <si>
    <t>7 v 9</t>
  </si>
  <si>
    <t>2 v 10</t>
  </si>
  <si>
    <t>6 v 8</t>
  </si>
  <si>
    <t>Team 02 def. Team 05, 5.0 - 4.0</t>
  </si>
  <si>
    <t>Team 04 def. Team 10, 7.0 - 2.0</t>
  </si>
  <si>
    <t>Team 11 def. Team 07, 6.0 - 3.0</t>
  </si>
  <si>
    <t>Team 03 def. Team 08, 6.5 - 2.5</t>
  </si>
  <si>
    <t>Team 09 def. Team 12, 7.0 - 2.0</t>
  </si>
  <si>
    <t>Team 01 def. Team 06, 5.5 - 3.5</t>
  </si>
  <si>
    <t>3 v 12</t>
  </si>
  <si>
    <t>5 v 7</t>
  </si>
  <si>
    <t>Beth Romano</t>
  </si>
  <si>
    <t>Team 11 def. Team 05, 5.0 - 4.0</t>
  </si>
  <si>
    <t>Team 04 def. Team 08, 6.0 - 3.0</t>
  </si>
  <si>
    <t>Team 01 def. Team 10, 7.0 - 2.0</t>
  </si>
  <si>
    <t>Team 07 def. Team 06, 5.5 - 3.5</t>
  </si>
  <si>
    <t>Team 09 def. Team 02, 5.0 - 4.0</t>
  </si>
  <si>
    <t>Team 03 def. Team 12, 5.5 - 3.5</t>
  </si>
  <si>
    <t>S7</t>
  </si>
  <si>
    <t>Mike DiPasquale</t>
  </si>
  <si>
    <t>Team 11 def. Team 01, 6.5 - 2.5</t>
  </si>
  <si>
    <t>Team 06 def. Team 03, 5.5 - 3.5</t>
  </si>
  <si>
    <t>Team 08 def. Team 05, 5.0 - 4.0</t>
  </si>
  <si>
    <t>Team 12 def. Team 04, 6.5 - 2.5</t>
  </si>
  <si>
    <t>Team 09 def. Team 07, 5.5 - 3.5</t>
  </si>
  <si>
    <t>Team 10 def. Team 02, 7.0 - 2.0</t>
  </si>
  <si>
    <t>Team 03 and Team 04 tie, 4.5 - 4.5</t>
  </si>
  <si>
    <t>Team 01 and Team 02 tie, 4.5 - 4.5</t>
  </si>
  <si>
    <t>Team 05 def. Team 06, 6.5 - 2.5</t>
  </si>
  <si>
    <t>Team 07 def. Team 08, 6.5 - 2.5</t>
  </si>
  <si>
    <t>Team 09 def. Team 11, 5.0 - 4.0</t>
  </si>
  <si>
    <t>Team 10 def. Team 12, 5.0 - 4.0</t>
  </si>
  <si>
    <t>Team 08 def. Team 10, 5.5 - 3.5</t>
  </si>
  <si>
    <t>Team 11 def. Team 04, 5.5 - 3.5</t>
  </si>
  <si>
    <t>Team 05 def. Team 07, 6.5 - 2.5</t>
  </si>
  <si>
    <t>Team 06 and Team 09 tie, 4.5 - 4.5</t>
  </si>
  <si>
    <t>Team 01 def. Team 03, 5.5 - 3.5</t>
  </si>
  <si>
    <t>Team 02 def. Team 12, 6.5 - 2.5</t>
  </si>
  <si>
    <t>Team 02 def. Team 04, 6.5 - 2.5</t>
  </si>
  <si>
    <t>Team 09 def. Team 10, 8.0 - 1.0</t>
  </si>
  <si>
    <t>Team 01 def. Team 05, 7.0 - 2.0</t>
  </si>
  <si>
    <t>Team 06 def. Team 12, 8.5 - 0.0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</si>
</sst>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 d\,\ yyyy"/>
    <numFmt numFmtId="166" formatCode="mmm\-dd"/>
    <numFmt numFmtId="167" formatCode="0.0"/>
    <numFmt numFmtId="168" formatCode="0.000"/>
    <numFmt numFmtId="169" formatCode="0.0000"/>
    <numFmt numFmtId="170" formatCode="0.00000"/>
    <numFmt numFmtId="171" formatCode="h:mm;@"/>
  </numFmts>
  <fonts count="25">
    <font>
      <sz val="10"/>
      <name val="Arial"/>
      <family val="0"/>
    </font>
    <font>
      <sz val="10"/>
      <color indexed="9"/>
      <name val="Arial"/>
      <family val="2"/>
    </font>
    <font>
      <b/>
      <sz val="10"/>
      <name val="Arial"/>
      <family val="2"/>
    </font>
    <font>
      <sz val="12"/>
      <name val="Arial"/>
      <family val="2"/>
    </font>
    <font>
      <b/>
      <sz val="12"/>
      <name val="Arial"/>
      <family val="2"/>
    </font>
    <font>
      <u val="single"/>
      <sz val="10"/>
      <color indexed="12"/>
      <name val="Arial"/>
      <family val="0"/>
    </font>
    <font>
      <u val="single"/>
      <sz val="10"/>
      <color indexed="36"/>
      <name val="Arial"/>
      <family val="0"/>
    </font>
    <font>
      <sz val="14"/>
      <name val="Arial"/>
      <family val="2"/>
    </font>
    <font>
      <b/>
      <sz val="11"/>
      <name val="Arial"/>
      <family val="2"/>
    </font>
    <font>
      <i/>
      <sz val="12"/>
      <color indexed="9"/>
      <name val="Arial"/>
      <family val="2"/>
    </font>
    <font>
      <sz val="12"/>
      <color indexed="9"/>
      <name val="Arial"/>
      <family val="2"/>
    </font>
    <font>
      <b/>
      <i/>
      <sz val="14"/>
      <name val="Arial"/>
      <family val="2"/>
    </font>
    <font>
      <b/>
      <sz val="14"/>
      <name val="Arial"/>
      <family val="2"/>
    </font>
    <font>
      <b/>
      <i/>
      <sz val="14"/>
      <color indexed="9"/>
      <name val="Arial"/>
      <family val="2"/>
    </font>
    <font>
      <sz val="14"/>
      <color indexed="9"/>
      <name val="Arial"/>
      <family val="2"/>
    </font>
    <font>
      <b/>
      <sz val="14"/>
      <color indexed="9"/>
      <name val="Arial"/>
      <family val="2"/>
    </font>
    <font>
      <sz val="8"/>
      <name val="Arial"/>
      <family val="2"/>
    </font>
    <font>
      <u val="single"/>
      <sz val="10"/>
      <name val="Arial"/>
      <family val="2"/>
    </font>
    <font>
      <sz val="10"/>
      <color indexed="8"/>
      <name val="Arial"/>
      <family val="2"/>
    </font>
    <font>
      <b/>
      <sz val="12"/>
      <color indexed="9"/>
      <name val="Arial"/>
      <family val="2"/>
    </font>
    <font>
      <b/>
      <sz val="20"/>
      <name val="Arial"/>
      <family val="2"/>
    </font>
    <font>
      <sz val="10"/>
      <color indexed="10"/>
      <name val="Arial"/>
      <family val="2"/>
    </font>
    <font>
      <b/>
      <sz val="10"/>
      <color indexed="8"/>
      <name val="Arial"/>
      <family val="2"/>
    </font>
    <font>
      <sz val="11"/>
      <name val="Arial"/>
      <family val="2"/>
    </font>
    <font>
      <sz val="7"/>
      <name val="Arial"/>
      <family val="2"/>
    </font>
  </fonts>
  <fills count="5">
    <fill>
      <patternFill/>
    </fill>
    <fill>
      <patternFill patternType="gray125"/>
    </fill>
    <fill>
      <patternFill patternType="solid">
        <fgColor indexed="41"/>
        <bgColor indexed="64"/>
      </patternFill>
    </fill>
    <fill>
      <patternFill patternType="solid">
        <fgColor indexed="10"/>
        <bgColor indexed="64"/>
      </patternFill>
    </fill>
    <fill>
      <patternFill patternType="solid">
        <fgColor indexed="12"/>
        <bgColor indexed="64"/>
      </patternFill>
    </fill>
  </fills>
  <borders count="27">
    <border>
      <left/>
      <right/>
      <top/>
      <bottom/>
      <diagonal/>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horizontal="center"/>
    </xf>
    <xf numFmtId="0" fontId="0" fillId="0" borderId="0" xfId="0" applyBorder="1" applyAlignment="1">
      <alignment/>
    </xf>
    <xf numFmtId="0" fontId="2" fillId="0" borderId="0" xfId="0" applyFont="1" applyBorder="1" applyAlignment="1">
      <alignment/>
    </xf>
    <xf numFmtId="0" fontId="2" fillId="0" borderId="0" xfId="0" applyFont="1" applyBorder="1" applyAlignment="1">
      <alignment horizontal="center"/>
    </xf>
    <xf numFmtId="0" fontId="0" fillId="0" borderId="0" xfId="0" applyAlignment="1" applyProtection="1">
      <alignment/>
      <protection locked="0"/>
    </xf>
    <xf numFmtId="164" fontId="0" fillId="0" borderId="0" xfId="0" applyNumberFormat="1" applyAlignment="1">
      <alignment/>
    </xf>
    <xf numFmtId="0" fontId="1" fillId="0" borderId="0" xfId="0" applyFont="1" applyAlignment="1">
      <alignment/>
    </xf>
    <xf numFmtId="16" fontId="0" fillId="0" borderId="0" xfId="0" applyNumberFormat="1" applyAlignment="1">
      <alignment/>
    </xf>
    <xf numFmtId="20" fontId="0" fillId="0" borderId="0" xfId="0" applyNumberFormat="1" applyAlignment="1">
      <alignment horizontal="center"/>
    </xf>
    <xf numFmtId="0" fontId="0" fillId="0" borderId="0" xfId="0" applyFont="1" applyAlignment="1" applyProtection="1">
      <alignment/>
      <protection locked="0"/>
    </xf>
    <xf numFmtId="0" fontId="0" fillId="0" borderId="0" xfId="0" applyBorder="1" applyAlignment="1">
      <alignment horizontal="center"/>
    </xf>
    <xf numFmtId="0" fontId="0" fillId="0" borderId="0" xfId="0" applyAlignment="1">
      <alignment horizontal="center"/>
    </xf>
    <xf numFmtId="166" fontId="1" fillId="0" borderId="0" xfId="0" applyNumberFormat="1" applyFont="1" applyAlignment="1">
      <alignment horizontal="center"/>
    </xf>
    <xf numFmtId="0" fontId="1" fillId="0" borderId="0" xfId="0" applyFont="1" applyAlignment="1">
      <alignment horizontal="center"/>
    </xf>
    <xf numFmtId="20" fontId="1" fillId="0" borderId="0" xfId="0" applyNumberFormat="1" applyFont="1" applyAlignment="1">
      <alignment horizontal="center"/>
    </xf>
    <xf numFmtId="20" fontId="0" fillId="0" borderId="0" xfId="0" applyNumberFormat="1" applyAlignment="1" quotePrefix="1">
      <alignment horizontal="center"/>
    </xf>
    <xf numFmtId="0" fontId="2" fillId="0" borderId="2" xfId="0" applyFont="1" applyBorder="1" applyAlignment="1">
      <alignment horizontal="center"/>
    </xf>
    <xf numFmtId="167" fontId="0" fillId="0" borderId="1" xfId="0" applyNumberFormat="1" applyBorder="1" applyAlignment="1">
      <alignment horizontal="center"/>
    </xf>
    <xf numFmtId="20" fontId="0" fillId="0" borderId="0" xfId="0" applyNumberFormat="1" applyBorder="1" applyAlignment="1">
      <alignment horizontal="center"/>
    </xf>
    <xf numFmtId="0" fontId="2" fillId="2" borderId="1" xfId="0" applyFont="1" applyFill="1" applyBorder="1" applyAlignment="1">
      <alignment/>
    </xf>
    <xf numFmtId="0" fontId="2" fillId="2" borderId="1" xfId="0" applyFont="1" applyFill="1" applyBorder="1" applyAlignment="1">
      <alignment horizontal="center"/>
    </xf>
    <xf numFmtId="0" fontId="2" fillId="2" borderId="3" xfId="0" applyFont="1" applyFill="1" applyBorder="1" applyAlignment="1">
      <alignment/>
    </xf>
    <xf numFmtId="0" fontId="2" fillId="2" borderId="3" xfId="0" applyFont="1" applyFill="1" applyBorder="1" applyAlignment="1">
      <alignment horizontal="center"/>
    </xf>
    <xf numFmtId="167" fontId="2" fillId="0" borderId="1" xfId="0" applyNumberFormat="1" applyFont="1" applyBorder="1" applyAlignment="1">
      <alignment horizontal="center"/>
    </xf>
    <xf numFmtId="0" fontId="7" fillId="0" borderId="3" xfId="0" applyFont="1" applyBorder="1" applyAlignment="1">
      <alignment/>
    </xf>
    <xf numFmtId="0" fontId="7" fillId="0" borderId="0" xfId="0" applyFont="1" applyAlignment="1">
      <alignment/>
    </xf>
    <xf numFmtId="0" fontId="7" fillId="0" borderId="4" xfId="0" applyFont="1" applyBorder="1" applyAlignment="1">
      <alignment horizontal="center" vertical="top"/>
    </xf>
    <xf numFmtId="0" fontId="7" fillId="0" borderId="4" xfId="0" applyFont="1" applyBorder="1" applyAlignment="1">
      <alignment horizontal="right" vertical="top"/>
    </xf>
    <xf numFmtId="0" fontId="12" fillId="0" borderId="5" xfId="0" applyFont="1" applyFill="1" applyBorder="1" applyAlignment="1">
      <alignment/>
    </xf>
    <xf numFmtId="167" fontId="12" fillId="0" borderId="5" xfId="0" applyNumberFormat="1" applyFont="1" applyBorder="1" applyAlignment="1">
      <alignment horizontal="center" vertical="top"/>
    </xf>
    <xf numFmtId="0" fontId="12" fillId="0" borderId="5"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15" fillId="0" borderId="0" xfId="0" applyFont="1" applyFill="1" applyBorder="1" applyAlignment="1">
      <alignment horizontal="center"/>
    </xf>
    <xf numFmtId="0" fontId="7" fillId="0" borderId="0" xfId="0" applyFont="1" applyBorder="1" applyAlignment="1">
      <alignment horizontal="center" vertical="top"/>
    </xf>
    <xf numFmtId="0" fontId="16" fillId="0" borderId="3" xfId="0" applyFont="1" applyBorder="1" applyAlignment="1">
      <alignment horizontal="right" vertical="top"/>
    </xf>
    <xf numFmtId="0" fontId="12" fillId="2" borderId="1" xfId="0" applyFont="1" applyFill="1" applyBorder="1" applyAlignment="1">
      <alignment horizontal="center"/>
    </xf>
    <xf numFmtId="9" fontId="2" fillId="0" borderId="0" xfId="0" applyNumberFormat="1" applyFont="1" applyBorder="1" applyAlignment="1">
      <alignment horizontal="center"/>
    </xf>
    <xf numFmtId="0" fontId="17" fillId="0" borderId="0" xfId="0" applyFont="1" applyAlignment="1">
      <alignment/>
    </xf>
    <xf numFmtId="0" fontId="2" fillId="2" borderId="1" xfId="0" applyFont="1" applyFill="1" applyBorder="1" applyAlignment="1">
      <alignment horizontal="left"/>
    </xf>
    <xf numFmtId="20" fontId="2" fillId="0" borderId="1" xfId="0" applyNumberFormat="1" applyFont="1" applyBorder="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0" fillId="0" borderId="0" xfId="0" applyFill="1" applyBorder="1" applyAlignment="1">
      <alignment/>
    </xf>
    <xf numFmtId="0" fontId="2" fillId="0" borderId="0" xfId="0" applyFont="1" applyFill="1" applyBorder="1" applyAlignment="1">
      <alignment horizontal="center"/>
    </xf>
    <xf numFmtId="167" fontId="0" fillId="0" borderId="0" xfId="0" applyNumberFormat="1" applyFill="1" applyBorder="1" applyAlignment="1">
      <alignment horizontal="center"/>
    </xf>
    <xf numFmtId="20" fontId="2" fillId="0" borderId="0" xfId="0" applyNumberFormat="1" applyFont="1"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xf>
    <xf numFmtId="0" fontId="19" fillId="0" borderId="0" xfId="0" applyFont="1" applyAlignment="1">
      <alignment/>
    </xf>
    <xf numFmtId="0" fontId="4" fillId="0" borderId="6" xfId="0" applyFont="1" applyBorder="1" applyAlignment="1">
      <alignment horizontal="left"/>
    </xf>
    <xf numFmtId="0" fontId="4" fillId="0" borderId="4" xfId="0" applyFont="1" applyFill="1" applyBorder="1" applyAlignment="1">
      <alignment horizontal="center" vertical="top"/>
    </xf>
    <xf numFmtId="0" fontId="0" fillId="0" borderId="7" xfId="0" applyBorder="1" applyAlignment="1">
      <alignment/>
    </xf>
    <xf numFmtId="0" fontId="0" fillId="0" borderId="2" xfId="0" applyBorder="1" applyAlignment="1">
      <alignment/>
    </xf>
    <xf numFmtId="0" fontId="7" fillId="0" borderId="0" xfId="0" applyFont="1" applyAlignment="1">
      <alignment/>
    </xf>
    <xf numFmtId="0" fontId="12" fillId="2" borderId="6" xfId="0" applyFont="1" applyFill="1" applyBorder="1" applyAlignment="1">
      <alignment horizontal="center"/>
    </xf>
    <xf numFmtId="0" fontId="0" fillId="0" borderId="0" xfId="0" applyBorder="1" applyAlignment="1">
      <alignment/>
    </xf>
    <xf numFmtId="0" fontId="19" fillId="0" borderId="0" xfId="0" applyFont="1" applyBorder="1" applyAlignment="1">
      <alignment horizontal="right"/>
    </xf>
    <xf numFmtId="167" fontId="8" fillId="0" borderId="5" xfId="0" applyNumberFormat="1" applyFont="1" applyBorder="1" applyAlignment="1">
      <alignment horizontal="center" vertical="top"/>
    </xf>
    <xf numFmtId="0" fontId="4" fillId="0" borderId="1" xfId="0" applyFont="1" applyBorder="1" applyAlignment="1">
      <alignment horizontal="center"/>
    </xf>
    <xf numFmtId="0" fontId="21" fillId="0" borderId="0" xfId="0" applyFont="1" applyAlignment="1">
      <alignment/>
    </xf>
    <xf numFmtId="0" fontId="19" fillId="0" borderId="0" xfId="0" applyFont="1" applyFill="1" applyBorder="1" applyAlignment="1">
      <alignment horizontal="right"/>
    </xf>
    <xf numFmtId="0" fontId="7" fillId="0" borderId="0" xfId="0" applyFont="1" applyBorder="1" applyAlignment="1">
      <alignment horizontal="right" vertical="top"/>
    </xf>
    <xf numFmtId="20" fontId="1" fillId="0" borderId="0" xfId="0" applyNumberFormat="1" applyFont="1" applyBorder="1" applyAlignment="1">
      <alignment horizontal="center"/>
    </xf>
    <xf numFmtId="0" fontId="8" fillId="0" borderId="1" xfId="0" applyFont="1" applyFill="1" applyBorder="1" applyAlignment="1">
      <alignment horizontal="center" vertical="center"/>
    </xf>
    <xf numFmtId="167" fontId="8" fillId="0" borderId="1" xfId="0" applyNumberFormat="1" applyFont="1" applyFill="1" applyBorder="1" applyAlignment="1">
      <alignment horizontal="center" vertical="center"/>
    </xf>
    <xf numFmtId="0" fontId="7" fillId="0" borderId="4" xfId="0" applyFont="1" applyBorder="1" applyAlignment="1" applyProtection="1">
      <alignment horizontal="center" vertical="top"/>
      <protection locked="0"/>
    </xf>
    <xf numFmtId="0" fontId="0" fillId="0" borderId="3" xfId="0" applyBorder="1" applyAlignment="1" applyProtection="1">
      <alignment/>
      <protection locked="0"/>
    </xf>
    <xf numFmtId="0" fontId="4" fillId="0" borderId="5" xfId="0" applyFont="1" applyFill="1" applyBorder="1" applyAlignment="1" applyProtection="1">
      <alignment/>
      <protection locked="0"/>
    </xf>
    <xf numFmtId="0" fontId="4" fillId="0" borderId="5" xfId="0" applyFont="1" applyBorder="1" applyAlignment="1" applyProtection="1">
      <alignment/>
      <protection locked="0"/>
    </xf>
    <xf numFmtId="0" fontId="7" fillId="0" borderId="3" xfId="0" applyFont="1" applyBorder="1" applyAlignment="1" applyProtection="1">
      <alignment/>
      <protection locked="0"/>
    </xf>
    <xf numFmtId="0" fontId="2" fillId="0" borderId="0" xfId="0" applyFont="1" applyFill="1" applyBorder="1" applyAlignment="1">
      <alignment/>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righ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vertical="center"/>
    </xf>
    <xf numFmtId="0" fontId="2" fillId="0" borderId="0" xfId="0" applyFont="1" applyAlignment="1">
      <alignment horizontal="center"/>
    </xf>
    <xf numFmtId="167" fontId="18" fillId="0" borderId="6" xfId="0" applyNumberFormat="1" applyFont="1" applyFill="1" applyBorder="1" applyAlignment="1">
      <alignment/>
    </xf>
    <xf numFmtId="167" fontId="0" fillId="0" borderId="2" xfId="0" applyNumberFormat="1" applyFont="1" applyFill="1" applyBorder="1" applyAlignment="1">
      <alignment/>
    </xf>
    <xf numFmtId="167" fontId="0" fillId="0" borderId="7" xfId="0" applyNumberFormat="1" applyFont="1" applyFill="1" applyBorder="1" applyAlignment="1">
      <alignment/>
    </xf>
    <xf numFmtId="167" fontId="18" fillId="0" borderId="6" xfId="0" applyNumberFormat="1" applyFont="1" applyFill="1" applyBorder="1" applyAlignment="1">
      <alignment/>
    </xf>
    <xf numFmtId="167" fontId="0" fillId="0" borderId="7" xfId="0" applyNumberFormat="1" applyFont="1" applyFill="1" applyBorder="1" applyAlignment="1">
      <alignment/>
    </xf>
    <xf numFmtId="167" fontId="0" fillId="0" borderId="6" xfId="0" applyNumberFormat="1" applyFont="1" applyFill="1" applyBorder="1" applyAlignment="1">
      <alignment/>
    </xf>
    <xf numFmtId="167" fontId="0" fillId="0" borderId="2" xfId="0" applyNumberFormat="1" applyFont="1" applyBorder="1" applyAlignment="1">
      <alignment/>
    </xf>
    <xf numFmtId="167" fontId="0" fillId="0" borderId="7" xfId="0" applyNumberFormat="1" applyFont="1" applyBorder="1" applyAlignment="1">
      <alignment/>
    </xf>
    <xf numFmtId="167" fontId="18" fillId="0" borderId="6" xfId="0" applyNumberFormat="1" applyFont="1" applyBorder="1" applyAlignment="1">
      <alignment/>
    </xf>
    <xf numFmtId="167" fontId="0" fillId="0" borderId="1" xfId="0" applyNumberFormat="1" applyBorder="1" applyAlignment="1">
      <alignment/>
    </xf>
    <xf numFmtId="167" fontId="0" fillId="0" borderId="0" xfId="0" applyNumberFormat="1" applyAlignment="1">
      <alignment/>
    </xf>
    <xf numFmtId="49" fontId="0" fillId="0" borderId="0" xfId="0" applyNumberFormat="1" applyFont="1" applyFill="1" applyBorder="1" applyAlignment="1">
      <alignment/>
    </xf>
    <xf numFmtId="0" fontId="7" fillId="0" borderId="3" xfId="0" applyFont="1" applyBorder="1" applyAlignment="1" applyProtection="1">
      <alignment/>
      <protection hidden="1" locked="0"/>
    </xf>
    <xf numFmtId="0" fontId="4" fillId="0" borderId="4" xfId="0" applyFont="1" applyFill="1" applyBorder="1" applyAlignment="1" applyProtection="1">
      <alignment horizontal="center" vertical="top"/>
      <protection hidden="1" locked="0"/>
    </xf>
    <xf numFmtId="0" fontId="4" fillId="0" borderId="5" xfId="0" applyFont="1" applyFill="1" applyBorder="1" applyAlignment="1" applyProtection="1">
      <alignment/>
      <protection hidden="1" locked="0"/>
    </xf>
    <xf numFmtId="0" fontId="4" fillId="0" borderId="5" xfId="0" applyFont="1" applyBorder="1" applyAlignment="1" applyProtection="1">
      <alignment/>
      <protection hidden="1" locked="0"/>
    </xf>
    <xf numFmtId="167" fontId="1" fillId="0" borderId="1" xfId="0" applyNumberFormat="1" applyFont="1" applyBorder="1" applyAlignment="1">
      <alignment/>
    </xf>
    <xf numFmtId="20" fontId="2" fillId="2" borderId="6" xfId="0" applyNumberFormat="1" applyFont="1" applyFill="1" applyBorder="1" applyAlignment="1">
      <alignment horizontal="center"/>
    </xf>
    <xf numFmtId="167" fontId="1" fillId="0" borderId="0" xfId="0" applyNumberFormat="1" applyFont="1" applyFill="1" applyBorder="1" applyAlignment="1">
      <alignment/>
    </xf>
    <xf numFmtId="167" fontId="1" fillId="0" borderId="0" xfId="0" applyNumberFormat="1" applyFont="1" applyAlignment="1">
      <alignment/>
    </xf>
    <xf numFmtId="167" fontId="22" fillId="2" borderId="1" xfId="0" applyNumberFormat="1" applyFont="1" applyFill="1" applyBorder="1" applyAlignment="1">
      <alignment horizontal="center"/>
    </xf>
    <xf numFmtId="0" fontId="0" fillId="2" borderId="2" xfId="0" applyFill="1" applyBorder="1" applyAlignment="1">
      <alignment/>
    </xf>
    <xf numFmtId="0" fontId="0" fillId="2" borderId="7" xfId="0" applyFill="1" applyBorder="1" applyAlignment="1">
      <alignment/>
    </xf>
    <xf numFmtId="167" fontId="0" fillId="0" borderId="0" xfId="0" applyNumberFormat="1" applyFont="1" applyFill="1" applyBorder="1" applyAlignment="1">
      <alignment/>
    </xf>
    <xf numFmtId="167" fontId="18" fillId="0" borderId="0" xfId="0" applyNumberFormat="1" applyFont="1" applyFill="1" applyBorder="1" applyAlignment="1">
      <alignment/>
    </xf>
    <xf numFmtId="167" fontId="0" fillId="0" borderId="0" xfId="0" applyNumberFormat="1" applyFont="1" applyFill="1" applyBorder="1" applyAlignment="1">
      <alignment/>
    </xf>
    <xf numFmtId="1" fontId="1" fillId="0" borderId="0" xfId="0" applyNumberFormat="1" applyFont="1" applyAlignment="1">
      <alignment/>
    </xf>
    <xf numFmtId="0" fontId="14" fillId="0" borderId="0" xfId="0" applyFont="1" applyAlignment="1">
      <alignment/>
    </xf>
    <xf numFmtId="0" fontId="12" fillId="2" borderId="7" xfId="0" applyFont="1" applyFill="1" applyBorder="1" applyAlignment="1">
      <alignment horizontal="center"/>
    </xf>
    <xf numFmtId="0" fontId="4" fillId="0" borderId="1" xfId="0" applyFont="1" applyBorder="1" applyAlignment="1">
      <alignment horizontal="left"/>
    </xf>
    <xf numFmtId="167" fontId="4" fillId="0" borderId="1" xfId="0" applyNumberFormat="1" applyFont="1" applyBorder="1" applyAlignment="1">
      <alignment horizontal="center"/>
    </xf>
    <xf numFmtId="0" fontId="0" fillId="0" borderId="3" xfId="0" applyFont="1" applyBorder="1" applyAlignment="1" applyProtection="1">
      <alignment/>
      <protection hidden="1" locked="0"/>
    </xf>
    <xf numFmtId="0" fontId="3" fillId="0" borderId="0" xfId="0" applyFont="1" applyAlignment="1">
      <alignment/>
    </xf>
    <xf numFmtId="0" fontId="16" fillId="0" borderId="8" xfId="0" applyFont="1" applyBorder="1" applyAlignment="1">
      <alignment horizontal="right" vertical="top"/>
    </xf>
    <xf numFmtId="0" fontId="7" fillId="0" borderId="9" xfId="0" applyFont="1" applyBorder="1" applyAlignment="1" applyProtection="1">
      <alignment horizontal="center" vertical="top"/>
      <protection locked="0"/>
    </xf>
    <xf numFmtId="0" fontId="12" fillId="0" borderId="0" xfId="0" applyFont="1" applyAlignment="1">
      <alignment/>
    </xf>
    <xf numFmtId="0" fontId="4" fillId="0" borderId="0" xfId="0" applyFont="1" applyAlignment="1">
      <alignment/>
    </xf>
    <xf numFmtId="0" fontId="12" fillId="0" borderId="0" xfId="0" applyFont="1" applyBorder="1" applyAlignment="1">
      <alignment horizontal="center" vertical="top"/>
    </xf>
    <xf numFmtId="167" fontId="7" fillId="0" borderId="0" xfId="0" applyNumberFormat="1" applyFont="1" applyAlignment="1">
      <alignment/>
    </xf>
    <xf numFmtId="0" fontId="12" fillId="2" borderId="6" xfId="0" applyFont="1" applyFill="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12"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167" fontId="4" fillId="0" borderId="1" xfId="0" applyNumberFormat="1" applyFont="1" applyBorder="1" applyAlignment="1">
      <alignment horizontal="center" vertical="center"/>
    </xf>
    <xf numFmtId="0" fontId="0" fillId="0" borderId="0" xfId="0" applyAlignment="1">
      <alignment vertical="center"/>
    </xf>
    <xf numFmtId="20" fontId="21" fillId="0" borderId="0" xfId="0" applyNumberFormat="1" applyFont="1" applyAlignment="1">
      <alignment horizontal="center" vertical="center"/>
    </xf>
    <xf numFmtId="0" fontId="1" fillId="0" borderId="0" xfId="0" applyFont="1" applyAlignment="1">
      <alignment vertical="center"/>
    </xf>
    <xf numFmtId="20" fontId="1" fillId="0" borderId="0" xfId="0" applyNumberFormat="1" applyFont="1" applyAlignment="1">
      <alignment horizontal="center" vertical="center"/>
    </xf>
    <xf numFmtId="166" fontId="1" fillId="0" borderId="0" xfId="0" applyNumberFormat="1" applyFont="1" applyAlignment="1">
      <alignment horizontal="center" vertical="center"/>
    </xf>
    <xf numFmtId="0" fontId="1" fillId="0" borderId="0" xfId="0" applyFont="1" applyAlignment="1">
      <alignment horizontal="center" vertical="center"/>
    </xf>
    <xf numFmtId="20" fontId="1" fillId="0" borderId="0" xfId="0" applyNumberFormat="1" applyFont="1" applyBorder="1" applyAlignment="1">
      <alignment horizontal="center" vertical="center"/>
    </xf>
    <xf numFmtId="0" fontId="0" fillId="0" borderId="0" xfId="0" applyNumberFormat="1" applyAlignment="1">
      <alignment horizontal="center"/>
    </xf>
    <xf numFmtId="16" fontId="0" fillId="0" borderId="0" xfId="0" applyNumberFormat="1" applyFont="1" applyAlignment="1">
      <alignment/>
    </xf>
    <xf numFmtId="0" fontId="0" fillId="0" borderId="0" xfId="0" applyFont="1" applyAlignment="1">
      <alignment/>
    </xf>
    <xf numFmtId="171" fontId="0" fillId="0" borderId="0" xfId="0" applyNumberFormat="1" applyAlignment="1">
      <alignment/>
    </xf>
    <xf numFmtId="16" fontId="2" fillId="2" borderId="1" xfId="0" applyNumberFormat="1" applyFont="1" applyFill="1" applyBorder="1" applyAlignment="1">
      <alignment horizontal="center"/>
    </xf>
    <xf numFmtId="20" fontId="2" fillId="2" borderId="4" xfId="0" applyNumberFormat="1" applyFont="1" applyFill="1" applyBorder="1" applyAlignment="1">
      <alignment horizontal="center"/>
    </xf>
    <xf numFmtId="20" fontId="2" fillId="2" borderId="1" xfId="0" applyNumberFormat="1" applyFont="1" applyFill="1" applyBorder="1" applyAlignment="1">
      <alignment horizontal="center"/>
    </xf>
    <xf numFmtId="0" fontId="21" fillId="0" borderId="0" xfId="0" applyFont="1" applyAlignment="1">
      <alignment/>
    </xf>
    <xf numFmtId="0" fontId="0" fillId="0" borderId="0" xfId="0" applyBorder="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0" fillId="0" borderId="10" xfId="0" applyBorder="1" applyAlignment="1">
      <alignment vertical="center"/>
    </xf>
    <xf numFmtId="0" fontId="0" fillId="0" borderId="8" xfId="0" applyBorder="1" applyAlignment="1">
      <alignment vertical="center"/>
    </xf>
    <xf numFmtId="167" fontId="4" fillId="0" borderId="3"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167" fontId="4" fillId="0" borderId="0" xfId="0" applyNumberFormat="1" applyFont="1" applyBorder="1" applyAlignment="1">
      <alignment horizontal="center" vertical="center"/>
    </xf>
    <xf numFmtId="0" fontId="19"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167" fontId="4" fillId="0" borderId="0" xfId="0" applyNumberFormat="1" applyFont="1" applyBorder="1" applyAlignment="1">
      <alignment horizontal="center"/>
    </xf>
    <xf numFmtId="20" fontId="2" fillId="0" borderId="0" xfId="0" applyNumberFormat="1" applyFont="1" applyBorder="1" applyAlignment="1">
      <alignment horizontal="center"/>
    </xf>
    <xf numFmtId="167" fontId="1" fillId="0" borderId="0" xfId="0" applyNumberFormat="1" applyFont="1" applyBorder="1" applyAlignment="1">
      <alignment/>
    </xf>
    <xf numFmtId="167" fontId="0" fillId="0" borderId="0" xfId="0" applyNumberFormat="1" applyBorder="1" applyAlignment="1">
      <alignment horizontal="center"/>
    </xf>
    <xf numFmtId="167" fontId="0" fillId="0" borderId="0" xfId="0" applyNumberFormat="1" applyBorder="1" applyAlignment="1">
      <alignment/>
    </xf>
    <xf numFmtId="167" fontId="2" fillId="0" borderId="0" xfId="0" applyNumberFormat="1" applyFont="1" applyBorder="1" applyAlignment="1">
      <alignment horizontal="center"/>
    </xf>
    <xf numFmtId="167" fontId="19" fillId="0" borderId="0" xfId="0" applyNumberFormat="1" applyFont="1" applyBorder="1" applyAlignment="1">
      <alignment horizontal="center"/>
    </xf>
    <xf numFmtId="0" fontId="12" fillId="0" borderId="0" xfId="0" applyFont="1" applyFill="1" applyBorder="1" applyAlignment="1">
      <alignment horizontal="center"/>
    </xf>
    <xf numFmtId="0" fontId="0" fillId="0" borderId="11" xfId="0" applyFont="1" applyFill="1" applyBorder="1" applyAlignment="1">
      <alignment/>
    </xf>
    <xf numFmtId="0" fontId="0" fillId="0" borderId="10" xfId="0" applyFont="1" applyFill="1" applyBorder="1" applyAlignment="1">
      <alignment/>
    </xf>
    <xf numFmtId="0" fontId="4" fillId="0" borderId="0" xfId="0" applyFont="1" applyFill="1" applyBorder="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13" xfId="0" applyFont="1" applyFill="1" applyBorder="1" applyAlignment="1">
      <alignment/>
    </xf>
    <xf numFmtId="0" fontId="0" fillId="0" borderId="14" xfId="0" applyFont="1" applyBorder="1" applyAlignment="1">
      <alignment/>
    </xf>
    <xf numFmtId="167" fontId="4" fillId="0" borderId="0" xfId="0" applyNumberFormat="1"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right"/>
    </xf>
    <xf numFmtId="20" fontId="0" fillId="0" borderId="0" xfId="0" applyNumberFormat="1" applyAlignment="1">
      <alignment/>
    </xf>
    <xf numFmtId="16" fontId="0" fillId="0" borderId="1" xfId="0" applyNumberFormat="1" applyBorder="1" applyAlignment="1">
      <alignment horizontal="center"/>
    </xf>
    <xf numFmtId="0" fontId="0" fillId="0" borderId="1" xfId="0" applyFont="1" applyBorder="1" applyAlignment="1">
      <alignment horizontal="center"/>
    </xf>
    <xf numFmtId="171" fontId="0" fillId="0" borderId="1" xfId="0" applyNumberFormat="1" applyBorder="1" applyAlignment="1">
      <alignment horizontal="center"/>
    </xf>
    <xf numFmtId="0" fontId="2" fillId="0" borderId="1" xfId="0" applyFont="1" applyBorder="1" applyAlignment="1">
      <alignment horizontal="center"/>
    </xf>
    <xf numFmtId="20" fontId="21" fillId="0" borderId="0" xfId="0" applyNumberFormat="1" applyFont="1" applyAlignment="1">
      <alignment/>
    </xf>
    <xf numFmtId="0" fontId="2" fillId="2" borderId="4" xfId="0" applyFont="1" applyFill="1" applyBorder="1" applyAlignment="1">
      <alignment horizontal="center"/>
    </xf>
    <xf numFmtId="0" fontId="18" fillId="0" borderId="0" xfId="0" applyFont="1" applyAlignment="1">
      <alignment/>
    </xf>
    <xf numFmtId="0" fontId="18" fillId="0" borderId="0" xfId="0" applyFont="1" applyAlignment="1" applyProtection="1">
      <alignment/>
      <protection locked="0"/>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16" fontId="2" fillId="2" borderId="16" xfId="0" applyNumberFormat="1" applyFont="1" applyFill="1" applyBorder="1" applyAlignment="1">
      <alignment horizontal="center"/>
    </xf>
    <xf numFmtId="0" fontId="2" fillId="2" borderId="18" xfId="0" applyFont="1" applyFill="1" applyBorder="1" applyAlignment="1">
      <alignment horizontal="center"/>
    </xf>
    <xf numFmtId="0" fontId="0" fillId="0" borderId="19" xfId="0" applyBorder="1" applyAlignment="1">
      <alignment/>
    </xf>
    <xf numFmtId="20" fontId="2" fillId="2" borderId="15" xfId="0" applyNumberFormat="1" applyFont="1" applyFill="1" applyBorder="1" applyAlignment="1">
      <alignment horizontal="center"/>
    </xf>
    <xf numFmtId="0" fontId="24" fillId="0" borderId="20" xfId="0" applyFont="1" applyBorder="1" applyAlignment="1">
      <alignment/>
    </xf>
    <xf numFmtId="20" fontId="2" fillId="2" borderId="17" xfId="0" applyNumberFormat="1" applyFont="1" applyFill="1" applyBorder="1" applyAlignment="1">
      <alignment horizontal="center"/>
    </xf>
    <xf numFmtId="0" fontId="2" fillId="2" borderId="21" xfId="0" applyFont="1" applyFill="1" applyBorder="1" applyAlignment="1">
      <alignment/>
    </xf>
    <xf numFmtId="0" fontId="0" fillId="0" borderId="22" xfId="0" applyBorder="1" applyAlignment="1">
      <alignment horizontal="center"/>
    </xf>
    <xf numFmtId="0" fontId="0" fillId="0" borderId="23" xfId="0" applyBorder="1" applyAlignment="1">
      <alignment/>
    </xf>
    <xf numFmtId="16" fontId="0" fillId="0" borderId="0" xfId="0" applyNumberFormat="1" applyFont="1" applyAlignment="1">
      <alignment/>
    </xf>
    <xf numFmtId="0" fontId="0" fillId="0" borderId="2" xfId="0" applyBorder="1" applyAlignment="1">
      <alignment/>
    </xf>
    <xf numFmtId="0" fontId="0" fillId="0" borderId="7" xfId="0" applyBorder="1" applyAlignment="1">
      <alignment/>
    </xf>
    <xf numFmtId="0" fontId="12" fillId="2" borderId="13" xfId="0" applyFont="1" applyFill="1" applyBorder="1" applyAlignment="1">
      <alignment horizontal="center" vertical="center"/>
    </xf>
    <xf numFmtId="0" fontId="7" fillId="2" borderId="14" xfId="0" applyFont="1" applyFill="1" applyBorder="1" applyAlignment="1">
      <alignment vertical="center"/>
    </xf>
    <xf numFmtId="0" fontId="7" fillId="2" borderId="9" xfId="0" applyFont="1" applyFill="1" applyBorder="1" applyAlignment="1">
      <alignment vertical="center"/>
    </xf>
    <xf numFmtId="0" fontId="0" fillId="0" borderId="0" xfId="0" applyBorder="1" applyAlignment="1">
      <alignment vertical="center"/>
    </xf>
    <xf numFmtId="0" fontId="12" fillId="2" borderId="1" xfId="0" applyFont="1" applyFill="1" applyBorder="1" applyAlignment="1">
      <alignment horizontal="center"/>
    </xf>
    <xf numFmtId="0" fontId="7" fillId="2" borderId="1" xfId="0" applyFont="1" applyFill="1" applyBorder="1" applyAlignment="1">
      <alignment horizontal="center"/>
    </xf>
    <xf numFmtId="0" fontId="11" fillId="2" borderId="6" xfId="0" applyFont="1" applyFill="1" applyBorder="1" applyAlignment="1">
      <alignment horizontal="center"/>
    </xf>
    <xf numFmtId="0" fontId="12" fillId="2" borderId="6" xfId="0" applyFont="1" applyFill="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11" fillId="2" borderId="6" xfId="0" applyFont="1" applyFill="1" applyBorder="1" applyAlignment="1">
      <alignment horizontal="center" vertical="center"/>
    </xf>
    <xf numFmtId="0" fontId="13" fillId="3" borderId="1" xfId="0" applyFont="1" applyFill="1" applyBorder="1" applyAlignment="1">
      <alignment horizontal="center" vertical="center"/>
    </xf>
    <xf numFmtId="0" fontId="12"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2" fillId="0" borderId="1" xfId="0" applyFont="1" applyBorder="1" applyAlignment="1">
      <alignment horizontal="right" vertical="center"/>
    </xf>
    <xf numFmtId="0" fontId="12" fillId="0" borderId="3" xfId="0" applyFont="1" applyFill="1" applyBorder="1" applyAlignment="1" quotePrefix="1">
      <alignment horizontal="center" vertical="center"/>
    </xf>
    <xf numFmtId="0" fontId="0" fillId="0" borderId="4" xfId="0" applyBorder="1" applyAlignment="1">
      <alignment horizontal="center" vertical="center"/>
    </xf>
    <xf numFmtId="0" fontId="7" fillId="2" borderId="11" xfId="0" applyFont="1" applyFill="1" applyBorder="1" applyAlignment="1">
      <alignment horizontal="center"/>
    </xf>
    <xf numFmtId="0" fontId="7" fillId="2" borderId="10" xfId="0" applyFont="1" applyFill="1" applyBorder="1" applyAlignment="1">
      <alignment/>
    </xf>
    <xf numFmtId="0" fontId="7" fillId="2" borderId="8" xfId="0" applyFont="1" applyFill="1" applyBorder="1" applyAlignment="1">
      <alignment/>
    </xf>
    <xf numFmtId="0" fontId="12" fillId="2" borderId="13" xfId="0" applyFont="1" applyFill="1" applyBorder="1" applyAlignment="1">
      <alignment horizontal="center"/>
    </xf>
    <xf numFmtId="0" fontId="7" fillId="2" borderId="14" xfId="0" applyFont="1" applyFill="1" applyBorder="1" applyAlignment="1">
      <alignment/>
    </xf>
    <xf numFmtId="0" fontId="7" fillId="2" borderId="9" xfId="0" applyFont="1" applyFill="1" applyBorder="1" applyAlignment="1">
      <alignment/>
    </xf>
    <xf numFmtId="0" fontId="3" fillId="0" borderId="1" xfId="0" applyFont="1" applyBorder="1" applyAlignment="1">
      <alignment horizontal="right" vertical="center"/>
    </xf>
    <xf numFmtId="0" fontId="3" fillId="0" borderId="1" xfId="0" applyFont="1" applyBorder="1" applyAlignment="1">
      <alignment vertical="center"/>
    </xf>
    <xf numFmtId="0" fontId="0" fillId="0" borderId="0" xfId="0" applyBorder="1" applyAlignment="1">
      <alignment/>
    </xf>
    <xf numFmtId="0" fontId="9" fillId="4" borderId="1" xfId="0" applyFont="1" applyFill="1" applyBorder="1" applyAlignment="1">
      <alignment horizontal="center" vertical="center"/>
    </xf>
    <xf numFmtId="0" fontId="11" fillId="0" borderId="1" xfId="0" applyFont="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vertical="center"/>
    </xf>
    <xf numFmtId="0" fontId="7" fillId="2" borderId="8" xfId="0" applyFont="1" applyFill="1" applyBorder="1" applyAlignment="1">
      <alignment vertical="center"/>
    </xf>
    <xf numFmtId="0" fontId="12" fillId="2" borderId="6" xfId="0" applyFont="1" applyFill="1" applyBorder="1" applyAlignment="1">
      <alignment horizontal="center"/>
    </xf>
    <xf numFmtId="0" fontId="2" fillId="2" borderId="24" xfId="0" applyFont="1" applyFill="1" applyBorder="1" applyAlignment="1">
      <alignment horizontal="center"/>
    </xf>
    <xf numFmtId="0" fontId="0" fillId="2" borderId="25" xfId="0" applyFill="1" applyBorder="1" applyAlignment="1">
      <alignment horizontal="center"/>
    </xf>
    <xf numFmtId="0" fontId="0" fillId="0" borderId="26" xfId="0" applyBorder="1" applyAlignment="1">
      <alignment/>
    </xf>
    <xf numFmtId="0" fontId="0" fillId="0" borderId="1" xfId="0" applyBorder="1" applyAlignment="1">
      <alignment/>
    </xf>
    <xf numFmtId="0" fontId="2" fillId="2" borderId="6" xfId="0" applyFont="1" applyFill="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2" borderId="2" xfId="0" applyFill="1" applyBorder="1" applyAlignment="1">
      <alignment horizontal="center"/>
    </xf>
    <xf numFmtId="0" fontId="0" fillId="2" borderId="7"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190500</xdr:colOff>
      <xdr:row>35</xdr:row>
      <xdr:rowOff>95250</xdr:rowOff>
    </xdr:to>
    <xdr:grpSp>
      <xdr:nvGrpSpPr>
        <xdr:cNvPr id="1" name="Group 20"/>
        <xdr:cNvGrpSpPr>
          <a:grpSpLocks/>
        </xdr:cNvGrpSpPr>
      </xdr:nvGrpSpPr>
      <xdr:grpSpPr>
        <a:xfrm>
          <a:off x="0" y="0"/>
          <a:ext cx="9334500" cy="5762625"/>
          <a:chOff x="0" y="0"/>
          <a:chExt cx="980" cy="605"/>
        </a:xfrm>
        <a:solidFill>
          <a:srgbClr val="FFFFFF"/>
        </a:solidFill>
      </xdr:grpSpPr>
      <xdr:pic>
        <xdr:nvPicPr>
          <xdr:cNvPr id="2" name="Picture 10"/>
          <xdr:cNvPicPr preferRelativeResize="1">
            <a:picLocks noChangeAspect="1"/>
          </xdr:cNvPicPr>
        </xdr:nvPicPr>
        <xdr:blipFill>
          <a:blip r:embed="rId1"/>
          <a:stretch>
            <a:fillRect/>
          </a:stretch>
        </xdr:blipFill>
        <xdr:spPr>
          <a:xfrm>
            <a:off x="0" y="0"/>
            <a:ext cx="980" cy="605"/>
          </a:xfrm>
          <a:prstGeom prst="rect">
            <a:avLst/>
          </a:prstGeom>
          <a:noFill/>
          <a:ln w="1" cmpd="sng">
            <a:noFill/>
          </a:ln>
        </xdr:spPr>
      </xdr:pic>
      <xdr:sp>
        <xdr:nvSpPr>
          <xdr:cNvPr id="3" name="Rectangle 9"/>
          <xdr:cNvSpPr>
            <a:spLocks/>
          </xdr:cNvSpPr>
        </xdr:nvSpPr>
        <xdr:spPr>
          <a:xfrm>
            <a:off x="320" y="113"/>
            <a:ext cx="312" cy="422"/>
          </a:xfrm>
          <a:prstGeom prst="rect">
            <a:avLst/>
          </a:prstGeom>
          <a:gradFill rotWithShape="1">
            <a:gsLst>
              <a:gs pos="0">
                <a:srgbClr val="17462F"/>
              </a:gs>
              <a:gs pos="50000">
                <a:srgbClr val="339966"/>
              </a:gs>
              <a:gs pos="100000">
                <a:srgbClr val="17462F"/>
              </a:gs>
            </a:gsLst>
            <a:lin ang="18900000" scaled="1"/>
          </a:gra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6"/>
          <xdr:cNvSpPr>
            <a:spLocks/>
          </xdr:cNvSpPr>
        </xdr:nvSpPr>
        <xdr:spPr>
          <a:xfrm>
            <a:off x="319" y="35"/>
            <a:ext cx="316" cy="52"/>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Romano Golf League</a:t>
            </a:r>
          </a:p>
        </xdr:txBody>
      </xdr:sp>
    </xdr:grpSp>
    <xdr:clientData/>
  </xdr:twoCellAnchor>
  <xdr:twoCellAnchor>
    <xdr:from>
      <xdr:col>6</xdr:col>
      <xdr:colOff>114300</xdr:colOff>
      <xdr:row>10</xdr:row>
      <xdr:rowOff>133350</xdr:rowOff>
    </xdr:from>
    <xdr:to>
      <xdr:col>8</xdr:col>
      <xdr:colOff>447675</xdr:colOff>
      <xdr:row>12</xdr:row>
      <xdr:rowOff>85725</xdr:rowOff>
    </xdr:to>
    <xdr:sp macro="[0]!Macro32">
      <xdr:nvSpPr>
        <xdr:cNvPr id="5" name="AutoShape 1"/>
        <xdr:cNvSpPr>
          <a:spLocks/>
        </xdr:cNvSpPr>
      </xdr:nvSpPr>
      <xdr:spPr>
        <a:xfrm>
          <a:off x="3771900" y="1752600"/>
          <a:ext cx="1552575" cy="27622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Enter Results</a:t>
          </a:r>
        </a:p>
      </xdr:txBody>
    </xdr:sp>
    <xdr:clientData/>
  </xdr:twoCellAnchor>
  <xdr:twoCellAnchor>
    <xdr:from>
      <xdr:col>6</xdr:col>
      <xdr:colOff>114300</xdr:colOff>
      <xdr:row>8</xdr:row>
      <xdr:rowOff>19050</xdr:rowOff>
    </xdr:from>
    <xdr:to>
      <xdr:col>8</xdr:col>
      <xdr:colOff>447675</xdr:colOff>
      <xdr:row>9</xdr:row>
      <xdr:rowOff>152400</xdr:rowOff>
    </xdr:to>
    <xdr:sp macro="[0]!Macro14">
      <xdr:nvSpPr>
        <xdr:cNvPr id="6" name="AutoShape 3"/>
        <xdr:cNvSpPr>
          <a:spLocks/>
        </xdr:cNvSpPr>
      </xdr:nvSpPr>
      <xdr:spPr>
        <a:xfrm>
          <a:off x="3771900" y="1314450"/>
          <a:ext cx="1552575" cy="2952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Print Scorecards</a:t>
          </a:r>
        </a:p>
      </xdr:txBody>
    </xdr:sp>
    <xdr:clientData/>
  </xdr:twoCellAnchor>
  <xdr:twoCellAnchor>
    <xdr:from>
      <xdr:col>6</xdr:col>
      <xdr:colOff>114300</xdr:colOff>
      <xdr:row>25</xdr:row>
      <xdr:rowOff>123825</xdr:rowOff>
    </xdr:from>
    <xdr:to>
      <xdr:col>8</xdr:col>
      <xdr:colOff>447675</xdr:colOff>
      <xdr:row>27</xdr:row>
      <xdr:rowOff>57150</xdr:rowOff>
    </xdr:to>
    <xdr:sp macro="[0]!Macro5">
      <xdr:nvSpPr>
        <xdr:cNvPr id="7" name="AutoShape 4"/>
        <xdr:cNvSpPr>
          <a:spLocks/>
        </xdr:cNvSpPr>
      </xdr:nvSpPr>
      <xdr:spPr>
        <a:xfrm>
          <a:off x="3771900" y="4171950"/>
          <a:ext cx="1552575" cy="2571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Quit</a:t>
          </a:r>
        </a:p>
      </xdr:txBody>
    </xdr:sp>
    <xdr:clientData/>
  </xdr:twoCellAnchor>
  <xdr:twoCellAnchor>
    <xdr:from>
      <xdr:col>6</xdr:col>
      <xdr:colOff>114300</xdr:colOff>
      <xdr:row>13</xdr:row>
      <xdr:rowOff>57150</xdr:rowOff>
    </xdr:from>
    <xdr:to>
      <xdr:col>8</xdr:col>
      <xdr:colOff>447675</xdr:colOff>
      <xdr:row>14</xdr:row>
      <xdr:rowOff>152400</xdr:rowOff>
    </xdr:to>
    <xdr:sp macro="[0]!Macro29">
      <xdr:nvSpPr>
        <xdr:cNvPr id="8" name="AutoShape 7"/>
        <xdr:cNvSpPr>
          <a:spLocks/>
        </xdr:cNvSpPr>
      </xdr:nvSpPr>
      <xdr:spPr>
        <a:xfrm>
          <a:off x="3771900" y="2162175"/>
          <a:ext cx="1552575" cy="2571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View Standings</a:t>
          </a:r>
          <a:r>
            <a:rPr lang="en-US" cap="none" sz="1000" b="1" i="0" u="none" baseline="0">
              <a:latin typeface="Arial"/>
              <a:ea typeface="Arial"/>
              <a:cs typeface="Arial"/>
            </a:rPr>
            <a:t>
View Standings</a:t>
          </a:r>
        </a:p>
      </xdr:txBody>
    </xdr:sp>
    <xdr:clientData/>
  </xdr:twoCellAnchor>
  <xdr:twoCellAnchor>
    <xdr:from>
      <xdr:col>6</xdr:col>
      <xdr:colOff>114300</xdr:colOff>
      <xdr:row>23</xdr:row>
      <xdr:rowOff>38100</xdr:rowOff>
    </xdr:from>
    <xdr:to>
      <xdr:col>8</xdr:col>
      <xdr:colOff>447675</xdr:colOff>
      <xdr:row>24</xdr:row>
      <xdr:rowOff>133350</xdr:rowOff>
    </xdr:to>
    <xdr:sp macro="[0]!Macro30">
      <xdr:nvSpPr>
        <xdr:cNvPr id="9" name="AutoShape 8"/>
        <xdr:cNvSpPr>
          <a:spLocks/>
        </xdr:cNvSpPr>
      </xdr:nvSpPr>
      <xdr:spPr>
        <a:xfrm>
          <a:off x="3771900" y="3762375"/>
          <a:ext cx="1552575" cy="2571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View Handicaps
View Standings</a:t>
          </a:r>
        </a:p>
      </xdr:txBody>
    </xdr:sp>
    <xdr:clientData/>
  </xdr:twoCellAnchor>
  <xdr:twoCellAnchor>
    <xdr:from>
      <xdr:col>6</xdr:col>
      <xdr:colOff>114300</xdr:colOff>
      <xdr:row>15</xdr:row>
      <xdr:rowOff>123825</xdr:rowOff>
    </xdr:from>
    <xdr:to>
      <xdr:col>8</xdr:col>
      <xdr:colOff>447675</xdr:colOff>
      <xdr:row>17</xdr:row>
      <xdr:rowOff>57150</xdr:rowOff>
    </xdr:to>
    <xdr:sp macro="[0]!Macro33">
      <xdr:nvSpPr>
        <xdr:cNvPr id="10" name="AutoShape 12"/>
        <xdr:cNvSpPr>
          <a:spLocks/>
        </xdr:cNvSpPr>
      </xdr:nvSpPr>
      <xdr:spPr>
        <a:xfrm>
          <a:off x="3771900" y="2552700"/>
          <a:ext cx="1552575" cy="2571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View Matches
View Standings</a:t>
          </a:r>
        </a:p>
      </xdr:txBody>
    </xdr:sp>
    <xdr:clientData/>
  </xdr:twoCellAnchor>
  <xdr:twoCellAnchor>
    <xdr:from>
      <xdr:col>6</xdr:col>
      <xdr:colOff>114300</xdr:colOff>
      <xdr:row>18</xdr:row>
      <xdr:rowOff>38100</xdr:rowOff>
    </xdr:from>
    <xdr:to>
      <xdr:col>8</xdr:col>
      <xdr:colOff>447675</xdr:colOff>
      <xdr:row>19</xdr:row>
      <xdr:rowOff>133350</xdr:rowOff>
    </xdr:to>
    <xdr:sp macro="[0]!Macro37">
      <xdr:nvSpPr>
        <xdr:cNvPr id="11" name="AutoShape 13"/>
        <xdr:cNvSpPr>
          <a:spLocks/>
        </xdr:cNvSpPr>
      </xdr:nvSpPr>
      <xdr:spPr>
        <a:xfrm>
          <a:off x="3771900" y="2952750"/>
          <a:ext cx="1552575" cy="2571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View/Print Schedule
View Standings</a:t>
          </a:r>
        </a:p>
      </xdr:txBody>
    </xdr:sp>
    <xdr:clientData/>
  </xdr:twoCellAnchor>
  <xdr:twoCellAnchor>
    <xdr:from>
      <xdr:col>6</xdr:col>
      <xdr:colOff>114300</xdr:colOff>
      <xdr:row>28</xdr:row>
      <xdr:rowOff>47625</xdr:rowOff>
    </xdr:from>
    <xdr:to>
      <xdr:col>8</xdr:col>
      <xdr:colOff>447675</xdr:colOff>
      <xdr:row>29</xdr:row>
      <xdr:rowOff>142875</xdr:rowOff>
    </xdr:to>
    <xdr:sp macro="[0]!Macro3">
      <xdr:nvSpPr>
        <xdr:cNvPr id="12" name="AutoShape 18"/>
        <xdr:cNvSpPr>
          <a:spLocks/>
        </xdr:cNvSpPr>
      </xdr:nvSpPr>
      <xdr:spPr>
        <a:xfrm>
          <a:off x="3771900" y="4581525"/>
          <a:ext cx="1552575" cy="2571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Save and Close</a:t>
          </a:r>
        </a:p>
      </xdr:txBody>
    </xdr:sp>
    <xdr:clientData/>
  </xdr:twoCellAnchor>
  <xdr:twoCellAnchor>
    <xdr:from>
      <xdr:col>6</xdr:col>
      <xdr:colOff>114300</xdr:colOff>
      <xdr:row>20</xdr:row>
      <xdr:rowOff>114300</xdr:rowOff>
    </xdr:from>
    <xdr:to>
      <xdr:col>8</xdr:col>
      <xdr:colOff>447675</xdr:colOff>
      <xdr:row>22</xdr:row>
      <xdr:rowOff>47625</xdr:rowOff>
    </xdr:to>
    <xdr:sp macro="[0]!Macro36">
      <xdr:nvSpPr>
        <xdr:cNvPr id="13" name="AutoShape 19"/>
        <xdr:cNvSpPr>
          <a:spLocks/>
        </xdr:cNvSpPr>
      </xdr:nvSpPr>
      <xdr:spPr>
        <a:xfrm>
          <a:off x="3771900" y="3352800"/>
          <a:ext cx="1552575" cy="2571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1st 1/2 Results
View Standings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15</xdr:col>
      <xdr:colOff>200025</xdr:colOff>
      <xdr:row>35</xdr:row>
      <xdr:rowOff>104775</xdr:rowOff>
    </xdr:to>
    <xdr:grpSp>
      <xdr:nvGrpSpPr>
        <xdr:cNvPr id="1" name="Group 22"/>
        <xdr:cNvGrpSpPr>
          <a:grpSpLocks/>
        </xdr:cNvGrpSpPr>
      </xdr:nvGrpSpPr>
      <xdr:grpSpPr>
        <a:xfrm>
          <a:off x="9525" y="9525"/>
          <a:ext cx="9334500" cy="5762625"/>
          <a:chOff x="1" y="1"/>
          <a:chExt cx="980" cy="605"/>
        </a:xfrm>
        <a:solidFill>
          <a:srgbClr val="FFFFFF"/>
        </a:solidFill>
      </xdr:grpSpPr>
      <xdr:pic>
        <xdr:nvPicPr>
          <xdr:cNvPr id="2" name="Picture 20"/>
          <xdr:cNvPicPr preferRelativeResize="1">
            <a:picLocks noChangeAspect="1"/>
          </xdr:cNvPicPr>
        </xdr:nvPicPr>
        <xdr:blipFill>
          <a:blip r:embed="rId1"/>
          <a:stretch>
            <a:fillRect/>
          </a:stretch>
        </xdr:blipFill>
        <xdr:spPr>
          <a:xfrm>
            <a:off x="1" y="1"/>
            <a:ext cx="980" cy="605"/>
          </a:xfrm>
          <a:prstGeom prst="rect">
            <a:avLst/>
          </a:prstGeom>
          <a:noFill/>
          <a:ln w="1" cmpd="sng">
            <a:noFill/>
          </a:ln>
        </xdr:spPr>
      </xdr:pic>
      <xdr:sp>
        <xdr:nvSpPr>
          <xdr:cNvPr id="3" name="Rectangle 3"/>
          <xdr:cNvSpPr>
            <a:spLocks/>
          </xdr:cNvSpPr>
        </xdr:nvSpPr>
        <xdr:spPr>
          <a:xfrm>
            <a:off x="323" y="100"/>
            <a:ext cx="317" cy="379"/>
          </a:xfrm>
          <a:prstGeom prst="rect">
            <a:avLst/>
          </a:prstGeom>
          <a:gradFill rotWithShape="1">
            <a:gsLst>
              <a:gs pos="0">
                <a:srgbClr val="17462F"/>
              </a:gs>
              <a:gs pos="50000">
                <a:srgbClr val="339966"/>
              </a:gs>
              <a:gs pos="100000">
                <a:srgbClr val="17462F"/>
              </a:gs>
            </a:gsLst>
            <a:lin ang="18900000" scaled="1"/>
          </a:gra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16"/>
          <xdr:cNvSpPr>
            <a:spLocks/>
          </xdr:cNvSpPr>
        </xdr:nvSpPr>
        <xdr:spPr>
          <a:xfrm>
            <a:off x="323" y="36"/>
            <a:ext cx="316" cy="52"/>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Romano Golf League</a:t>
            </a:r>
          </a:p>
        </xdr:txBody>
      </xdr:sp>
    </xdr:grpSp>
    <xdr:clientData/>
  </xdr:twoCellAnchor>
  <xdr:twoCellAnchor>
    <xdr:from>
      <xdr:col>6</xdr:col>
      <xdr:colOff>228600</xdr:colOff>
      <xdr:row>9</xdr:row>
      <xdr:rowOff>19050</xdr:rowOff>
    </xdr:from>
    <xdr:to>
      <xdr:col>8</xdr:col>
      <xdr:colOff>323850</xdr:colOff>
      <xdr:row>10</xdr:row>
      <xdr:rowOff>152400</xdr:rowOff>
    </xdr:to>
    <xdr:sp macro="[0]!Macro6">
      <xdr:nvSpPr>
        <xdr:cNvPr id="5" name="AutoShape 7"/>
        <xdr:cNvSpPr>
          <a:spLocks/>
        </xdr:cNvSpPr>
      </xdr:nvSpPr>
      <xdr:spPr>
        <a:xfrm>
          <a:off x="3886200" y="1476375"/>
          <a:ext cx="1314450" cy="2952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Week 1</a:t>
          </a:r>
        </a:p>
      </xdr:txBody>
    </xdr:sp>
    <xdr:clientData/>
  </xdr:twoCellAnchor>
  <xdr:twoCellAnchor>
    <xdr:from>
      <xdr:col>6</xdr:col>
      <xdr:colOff>228600</xdr:colOff>
      <xdr:row>11</xdr:row>
      <xdr:rowOff>76200</xdr:rowOff>
    </xdr:from>
    <xdr:to>
      <xdr:col>8</xdr:col>
      <xdr:colOff>323850</xdr:colOff>
      <xdr:row>13</xdr:row>
      <xdr:rowOff>47625</xdr:rowOff>
    </xdr:to>
    <xdr:sp macro="[0]!Macro7">
      <xdr:nvSpPr>
        <xdr:cNvPr id="6" name="AutoShape 8"/>
        <xdr:cNvSpPr>
          <a:spLocks/>
        </xdr:cNvSpPr>
      </xdr:nvSpPr>
      <xdr:spPr>
        <a:xfrm>
          <a:off x="3886200" y="1857375"/>
          <a:ext cx="1314450" cy="2952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Week 2</a:t>
          </a:r>
        </a:p>
      </xdr:txBody>
    </xdr:sp>
    <xdr:clientData/>
  </xdr:twoCellAnchor>
  <xdr:twoCellAnchor>
    <xdr:from>
      <xdr:col>6</xdr:col>
      <xdr:colOff>238125</xdr:colOff>
      <xdr:row>13</xdr:row>
      <xdr:rowOff>152400</xdr:rowOff>
    </xdr:from>
    <xdr:to>
      <xdr:col>8</xdr:col>
      <xdr:colOff>333375</xdr:colOff>
      <xdr:row>15</xdr:row>
      <xdr:rowOff>123825</xdr:rowOff>
    </xdr:to>
    <xdr:sp macro="[0]!Macro8">
      <xdr:nvSpPr>
        <xdr:cNvPr id="7" name="AutoShape 9"/>
        <xdr:cNvSpPr>
          <a:spLocks/>
        </xdr:cNvSpPr>
      </xdr:nvSpPr>
      <xdr:spPr>
        <a:xfrm>
          <a:off x="3895725" y="2257425"/>
          <a:ext cx="1314450" cy="2952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Week 3</a:t>
          </a:r>
        </a:p>
      </xdr:txBody>
    </xdr:sp>
    <xdr:clientData/>
  </xdr:twoCellAnchor>
  <xdr:twoCellAnchor>
    <xdr:from>
      <xdr:col>6</xdr:col>
      <xdr:colOff>238125</xdr:colOff>
      <xdr:row>16</xdr:row>
      <xdr:rowOff>47625</xdr:rowOff>
    </xdr:from>
    <xdr:to>
      <xdr:col>8</xdr:col>
      <xdr:colOff>333375</xdr:colOff>
      <xdr:row>18</xdr:row>
      <xdr:rowOff>19050</xdr:rowOff>
    </xdr:to>
    <xdr:sp macro="[0]!Macro9">
      <xdr:nvSpPr>
        <xdr:cNvPr id="8" name="AutoShape 10"/>
        <xdr:cNvSpPr>
          <a:spLocks/>
        </xdr:cNvSpPr>
      </xdr:nvSpPr>
      <xdr:spPr>
        <a:xfrm>
          <a:off x="3895725" y="2638425"/>
          <a:ext cx="1314450" cy="2952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Week 4</a:t>
          </a:r>
        </a:p>
      </xdr:txBody>
    </xdr:sp>
    <xdr:clientData/>
  </xdr:twoCellAnchor>
  <xdr:twoCellAnchor>
    <xdr:from>
      <xdr:col>6</xdr:col>
      <xdr:colOff>238125</xdr:colOff>
      <xdr:row>18</xdr:row>
      <xdr:rowOff>104775</xdr:rowOff>
    </xdr:from>
    <xdr:to>
      <xdr:col>8</xdr:col>
      <xdr:colOff>333375</xdr:colOff>
      <xdr:row>20</xdr:row>
      <xdr:rowOff>76200</xdr:rowOff>
    </xdr:to>
    <xdr:sp macro="[0]!Macro10">
      <xdr:nvSpPr>
        <xdr:cNvPr id="9" name="AutoShape 11"/>
        <xdr:cNvSpPr>
          <a:spLocks/>
        </xdr:cNvSpPr>
      </xdr:nvSpPr>
      <xdr:spPr>
        <a:xfrm>
          <a:off x="3895725" y="3019425"/>
          <a:ext cx="1314450" cy="2952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Week 5</a:t>
          </a:r>
        </a:p>
      </xdr:txBody>
    </xdr:sp>
    <xdr:clientData/>
  </xdr:twoCellAnchor>
  <xdr:twoCellAnchor>
    <xdr:from>
      <xdr:col>6</xdr:col>
      <xdr:colOff>238125</xdr:colOff>
      <xdr:row>21</xdr:row>
      <xdr:rowOff>0</xdr:rowOff>
    </xdr:from>
    <xdr:to>
      <xdr:col>8</xdr:col>
      <xdr:colOff>333375</xdr:colOff>
      <xdr:row>22</xdr:row>
      <xdr:rowOff>133350</xdr:rowOff>
    </xdr:to>
    <xdr:sp macro="[0]!Macro11">
      <xdr:nvSpPr>
        <xdr:cNvPr id="10" name="AutoShape 12"/>
        <xdr:cNvSpPr>
          <a:spLocks/>
        </xdr:cNvSpPr>
      </xdr:nvSpPr>
      <xdr:spPr>
        <a:xfrm>
          <a:off x="3895725" y="3400425"/>
          <a:ext cx="1314450" cy="2952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Week 6</a:t>
          </a:r>
        </a:p>
      </xdr:txBody>
    </xdr:sp>
    <xdr:clientData/>
  </xdr:twoCellAnchor>
  <xdr:twoCellAnchor>
    <xdr:from>
      <xdr:col>6</xdr:col>
      <xdr:colOff>247650</xdr:colOff>
      <xdr:row>23</xdr:row>
      <xdr:rowOff>47625</xdr:rowOff>
    </xdr:from>
    <xdr:to>
      <xdr:col>8</xdr:col>
      <xdr:colOff>342900</xdr:colOff>
      <xdr:row>25</xdr:row>
      <xdr:rowOff>19050</xdr:rowOff>
    </xdr:to>
    <xdr:sp macro="[0]!Macro12">
      <xdr:nvSpPr>
        <xdr:cNvPr id="11" name="AutoShape 13"/>
        <xdr:cNvSpPr>
          <a:spLocks/>
        </xdr:cNvSpPr>
      </xdr:nvSpPr>
      <xdr:spPr>
        <a:xfrm>
          <a:off x="3905250" y="3771900"/>
          <a:ext cx="1314450" cy="2952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Week 7</a:t>
          </a:r>
        </a:p>
      </xdr:txBody>
    </xdr:sp>
    <xdr:clientData/>
  </xdr:twoCellAnchor>
  <xdr:twoCellAnchor>
    <xdr:from>
      <xdr:col>6</xdr:col>
      <xdr:colOff>247650</xdr:colOff>
      <xdr:row>25</xdr:row>
      <xdr:rowOff>95250</xdr:rowOff>
    </xdr:from>
    <xdr:to>
      <xdr:col>8</xdr:col>
      <xdr:colOff>342900</xdr:colOff>
      <xdr:row>27</xdr:row>
      <xdr:rowOff>66675</xdr:rowOff>
    </xdr:to>
    <xdr:sp macro="[0]!Macro13">
      <xdr:nvSpPr>
        <xdr:cNvPr id="12" name="AutoShape 14"/>
        <xdr:cNvSpPr>
          <a:spLocks/>
        </xdr:cNvSpPr>
      </xdr:nvSpPr>
      <xdr:spPr>
        <a:xfrm>
          <a:off x="3905250" y="4143375"/>
          <a:ext cx="1314450" cy="295275"/>
        </a:xfrm>
        <a:prstGeom prst="bevel">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Quit</a:t>
          </a:r>
        </a:p>
      </xdr:txBody>
    </xdr:sp>
    <xdr:clientData/>
  </xdr:twoCellAnchor>
  <xdr:twoCellAnchor>
    <xdr:from>
      <xdr:col>5</xdr:col>
      <xdr:colOff>228600</xdr:colOff>
      <xdr:row>6</xdr:row>
      <xdr:rowOff>142875</xdr:rowOff>
    </xdr:from>
    <xdr:to>
      <xdr:col>9</xdr:col>
      <xdr:colOff>361950</xdr:colOff>
      <xdr:row>8</xdr:row>
      <xdr:rowOff>123825</xdr:rowOff>
    </xdr:to>
    <xdr:sp>
      <xdr:nvSpPr>
        <xdr:cNvPr id="13" name="AutoShape 17"/>
        <xdr:cNvSpPr>
          <a:spLocks/>
        </xdr:cNvSpPr>
      </xdr:nvSpPr>
      <xdr:spPr>
        <a:xfrm>
          <a:off x="3276600" y="1114425"/>
          <a:ext cx="2571750" cy="304800"/>
        </a:xfrm>
        <a:prstGeom prst="bevel">
          <a:avLst/>
        </a:prstGeom>
        <a:gradFill rotWithShape="1">
          <a:gsLst>
            <a:gs pos="0">
              <a:srgbClr val="465E75"/>
            </a:gs>
            <a:gs pos="50000">
              <a:srgbClr val="99CCFF"/>
            </a:gs>
            <a:gs pos="100000">
              <a:srgbClr val="465E75"/>
            </a:gs>
          </a:gsLst>
          <a:lin ang="5400000" scaled="1"/>
        </a:gra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Select Week to Print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31</xdr:row>
      <xdr:rowOff>9525</xdr:rowOff>
    </xdr:from>
    <xdr:to>
      <xdr:col>13</xdr:col>
      <xdr:colOff>0</xdr:colOff>
      <xdr:row>48</xdr:row>
      <xdr:rowOff>0</xdr:rowOff>
    </xdr:to>
    <xdr:sp>
      <xdr:nvSpPr>
        <xdr:cNvPr id="1" name="TextBox 18"/>
        <xdr:cNvSpPr txBox="1">
          <a:spLocks noChangeArrowheads="1"/>
        </xdr:cNvSpPr>
      </xdr:nvSpPr>
      <xdr:spPr>
        <a:xfrm>
          <a:off x="4819650" y="6696075"/>
          <a:ext cx="3895725" cy="46863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1.  USGA and local rules apply.
 2.  Teams are responsible for being prompt.  Matches should
      begin at their specified time.  If the second match following
      yours tees off, the team that is missing shall forfeit unless
      prior arrangements have been made. (see rule 3)
 3.  If a team cannot make a match, it is their responsibility to
      make other arrangements </a:t>
          </a:r>
          <a:r>
            <a:rPr lang="en-US" cap="none" sz="1100" b="1" i="0" u="none" baseline="0">
              <a:latin typeface="Arial"/>
              <a:ea typeface="Arial"/>
              <a:cs typeface="Arial"/>
            </a:rPr>
            <a:t>with approval of their
      opponents</a:t>
          </a:r>
          <a:r>
            <a:rPr lang="en-US" cap="none" sz="1100" b="0" i="0" u="none" baseline="0">
              <a:latin typeface="Arial"/>
              <a:ea typeface="Arial"/>
              <a:cs typeface="Arial"/>
            </a:rPr>
            <a:t>.
 4.  One member of the team must be present for the match. 
      (one substitution is allowed, not two)
 5.  Lost ball/quick play rule - all lost balls are played as lateral
      hazards.  2 MIN. TIME LIMIT!
 6.  Handicaps are based on league performance - 80% of the
      prior 5 weeks of play is used - strokes are given on par 3's
      if applicable.  Maximum golf score per hole for handicap
      purposes = 2 times par.   Those who missed the handicap
      round were assigned a ZERO handicap.  As those indi-
      viduals post scores, the assigned handicap will be re-
      moved.
 7.  Scoring - 1 point per hole, best ball, halves are 1/2 point. 
 8.  No opponent - when playing for points with no opponent,
      points are awarded as follows: net birdie = 1 point, net par
      = 1/2 point.
9.   Preferred lies everywhere but HAZARDS.</a:t>
          </a:r>
        </a:p>
      </xdr:txBody>
    </xdr:sp>
    <xdr:clientData/>
  </xdr:twoCellAnchor>
  <xdr:twoCellAnchor>
    <xdr:from>
      <xdr:col>6</xdr:col>
      <xdr:colOff>428625</xdr:colOff>
      <xdr:row>81</xdr:row>
      <xdr:rowOff>9525</xdr:rowOff>
    </xdr:from>
    <xdr:to>
      <xdr:col>12</xdr:col>
      <xdr:colOff>609600</xdr:colOff>
      <xdr:row>98</xdr:row>
      <xdr:rowOff>0</xdr:rowOff>
    </xdr:to>
    <xdr:sp>
      <xdr:nvSpPr>
        <xdr:cNvPr id="2" name="TextBox 19"/>
        <xdr:cNvSpPr txBox="1">
          <a:spLocks noChangeArrowheads="1"/>
        </xdr:cNvSpPr>
      </xdr:nvSpPr>
      <xdr:spPr>
        <a:xfrm>
          <a:off x="4810125" y="18764250"/>
          <a:ext cx="3895725" cy="46863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1.  USGA and local rules apply.
 2.  Teams are responsible for being prompt.  Matches should
      begin at their specified time.  If the second match following
      yours tees off, the team that is missing shall forfeit unless
      prior arrangements have been made. (see rule 3)
 3.  If a team cannot make a match, it is their responsibility to
      make other arrangements </a:t>
          </a:r>
          <a:r>
            <a:rPr lang="en-US" cap="none" sz="1100" b="1" i="0" u="none" baseline="0">
              <a:latin typeface="Arial"/>
              <a:ea typeface="Arial"/>
              <a:cs typeface="Arial"/>
            </a:rPr>
            <a:t>with approval of their
      opponents</a:t>
          </a:r>
          <a:r>
            <a:rPr lang="en-US" cap="none" sz="1100" b="0" i="0" u="none" baseline="0">
              <a:latin typeface="Arial"/>
              <a:ea typeface="Arial"/>
              <a:cs typeface="Arial"/>
            </a:rPr>
            <a:t>.
 4.  One member of the team must be present for the match. 
      (one substitution is allowed, not two)
 5.  Lost ball/quick play rule - all lost balls are played as lateral
      hazards.  2 MIN. TIME LIMIT!
 6.  Handicaps are based on league performance - 80% of the
      prior 5 weeks of play is used - strokes are given on par 3's
      if applicable.  Maximum golf score per hole for handicap
      purposes = 2 times par.   Those who missed the handicap
      round were assigned a ZERO handicap.  As those indi-
      viduals post scores, the assigned handicap will be re-
      moved.
 7.  Scoring - 1 point per hole, best ball, halves are 1/2 point. 
 8.  No opponent - when playing for points with no opponent,
      points are awarded as follows: net birdie = 1 point, net par
      = 1/2 point.
9.   Preferred lies everywhere but HAZARDS.</a:t>
          </a:r>
        </a:p>
      </xdr:txBody>
    </xdr:sp>
    <xdr:clientData/>
  </xdr:twoCellAnchor>
  <xdr:twoCellAnchor>
    <xdr:from>
      <xdr:col>6</xdr:col>
      <xdr:colOff>438150</xdr:colOff>
      <xdr:row>131</xdr:row>
      <xdr:rowOff>9525</xdr:rowOff>
    </xdr:from>
    <xdr:to>
      <xdr:col>13</xdr:col>
      <xdr:colOff>0</xdr:colOff>
      <xdr:row>148</xdr:row>
      <xdr:rowOff>0</xdr:rowOff>
    </xdr:to>
    <xdr:sp>
      <xdr:nvSpPr>
        <xdr:cNvPr id="3" name="TextBox 20"/>
        <xdr:cNvSpPr txBox="1">
          <a:spLocks noChangeArrowheads="1"/>
        </xdr:cNvSpPr>
      </xdr:nvSpPr>
      <xdr:spPr>
        <a:xfrm>
          <a:off x="4819650" y="30699075"/>
          <a:ext cx="3895725" cy="46863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1.  USGA and local rules apply.
 2.  Teams are responsible for being prompt.  Matches should
      begin at their specified time.  If the second match following
      yours tees off, the team that is missing shall forfeit unless
      prior arrangements have been made. (see rule 3)
 3.  If a team cannot make a match, it is their responsibility to
      make other arrangements </a:t>
          </a:r>
          <a:r>
            <a:rPr lang="en-US" cap="none" sz="1100" b="1" i="0" u="none" baseline="0">
              <a:latin typeface="Arial"/>
              <a:ea typeface="Arial"/>
              <a:cs typeface="Arial"/>
            </a:rPr>
            <a:t>with approval of their
      opponents</a:t>
          </a:r>
          <a:r>
            <a:rPr lang="en-US" cap="none" sz="1100" b="0" i="0" u="none" baseline="0">
              <a:latin typeface="Arial"/>
              <a:ea typeface="Arial"/>
              <a:cs typeface="Arial"/>
            </a:rPr>
            <a:t>.
 4.  One member of the team must be present for the match. 
      (one substitution is allowed, not two)
 5.  Lost ball/quick play rule - all lost balls are played as lateral
      hazards.  2 MIN. TIME LIMIT!
 6.  Handicaps are based on league performance - 80% of the
      prior 5 weeks of play is used - strokes are given on par 3's
      if applicable.  Maximum golf score per hole for handicap
      purposes = 2 times par.   Those who missed the handicap
      round were assigned a ZERO handicap.  As those indi-
      viduals post scores, the assigned handicap will be re-
      moved.
 7.  Scoring - 1 point per hole, best ball, halves are 1/2 point. 
 8.  No opponent - when playing for points with no opponent,
      points are awarded as follows: net birdie = 1 point, net par
      = 1/2 point.
9.   Preferred lies everywhere but HAZARDS.</a:t>
          </a:r>
        </a:p>
      </xdr:txBody>
    </xdr:sp>
    <xdr:clientData/>
  </xdr:twoCellAnchor>
  <xdr:twoCellAnchor>
    <xdr:from>
      <xdr:col>6</xdr:col>
      <xdr:colOff>438150</xdr:colOff>
      <xdr:row>181</xdr:row>
      <xdr:rowOff>9525</xdr:rowOff>
    </xdr:from>
    <xdr:to>
      <xdr:col>13</xdr:col>
      <xdr:colOff>0</xdr:colOff>
      <xdr:row>198</xdr:row>
      <xdr:rowOff>0</xdr:rowOff>
    </xdr:to>
    <xdr:sp>
      <xdr:nvSpPr>
        <xdr:cNvPr id="4" name="TextBox 21"/>
        <xdr:cNvSpPr txBox="1">
          <a:spLocks noChangeArrowheads="1"/>
        </xdr:cNvSpPr>
      </xdr:nvSpPr>
      <xdr:spPr>
        <a:xfrm>
          <a:off x="4819650" y="42729150"/>
          <a:ext cx="3895725" cy="46863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1.  USGA and local rules apply.
 2.  Teams are responsible for being prompt.  Matches should
      begin at their specified time.  If the second match following
      yours tees off, the team that is missing shall forfeit unless
      prior arrangements have been made. (see rule 3)
 3.  If a team cannot make a match, it is their responsibility to
      make other arrangements </a:t>
          </a:r>
          <a:r>
            <a:rPr lang="en-US" cap="none" sz="1100" b="1" i="0" u="none" baseline="0">
              <a:latin typeface="Arial"/>
              <a:ea typeface="Arial"/>
              <a:cs typeface="Arial"/>
            </a:rPr>
            <a:t>with approval of their
      opponents</a:t>
          </a:r>
          <a:r>
            <a:rPr lang="en-US" cap="none" sz="1100" b="0" i="0" u="none" baseline="0">
              <a:latin typeface="Arial"/>
              <a:ea typeface="Arial"/>
              <a:cs typeface="Arial"/>
            </a:rPr>
            <a:t>.
 4.  One member of the team must be present for the match. 
      (one substitution is allowed, not two)
 5.  Lost ball/quick play rule - all lost balls are played as lateral
      hazards.  2 MIN. TIME LIMIT!
 6.  Handicaps are based on league performance - 80% of the
      prior 5 weeks of play is used - strokes are given on par 3's
      if applicable.  Maximum golf score per hole for handicap
      purposes = 2 times par.   Those who missed the handicap
      round were assigned a ZERO handicap.  As those indi-
      viduals post scores, the assigned handicap will be re-
      moved.
 7.  Scoring - 1 point per hole, best ball, halves are 1/2 point. 
 8.  No opponent - when playing for points with no opponent,
      points are awarded as follows: net birdie = 1 point, net par
      = 1/2 point.
9.   Preferred lies everywhere but HAZARDS.</a:t>
          </a:r>
        </a:p>
      </xdr:txBody>
    </xdr:sp>
    <xdr:clientData/>
  </xdr:twoCellAnchor>
  <xdr:twoCellAnchor>
    <xdr:from>
      <xdr:col>6</xdr:col>
      <xdr:colOff>438150</xdr:colOff>
      <xdr:row>231</xdr:row>
      <xdr:rowOff>9525</xdr:rowOff>
    </xdr:from>
    <xdr:to>
      <xdr:col>13</xdr:col>
      <xdr:colOff>0</xdr:colOff>
      <xdr:row>248</xdr:row>
      <xdr:rowOff>47625</xdr:rowOff>
    </xdr:to>
    <xdr:sp>
      <xdr:nvSpPr>
        <xdr:cNvPr id="5" name="TextBox 22"/>
        <xdr:cNvSpPr txBox="1">
          <a:spLocks noChangeArrowheads="1"/>
        </xdr:cNvSpPr>
      </xdr:nvSpPr>
      <xdr:spPr>
        <a:xfrm>
          <a:off x="4819650" y="54797325"/>
          <a:ext cx="3895725" cy="46863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1.  USGA and local rules apply.
 2.  Teams are responsible for being prompt.  Matches should
      begin at their specified time.  If the second match following
      yours tees off, the team that is missing shall forfeit unless
      prior arrangements have been made. (see rule 3)
 3.  If a team cannot make a match, it is their responsibility to
      make other arrangements </a:t>
          </a:r>
          <a:r>
            <a:rPr lang="en-US" cap="none" sz="1100" b="1" i="0" u="none" baseline="0">
              <a:latin typeface="Arial"/>
              <a:ea typeface="Arial"/>
              <a:cs typeface="Arial"/>
            </a:rPr>
            <a:t>with approval of their
      opponents</a:t>
          </a:r>
          <a:r>
            <a:rPr lang="en-US" cap="none" sz="1100" b="0" i="0" u="none" baseline="0">
              <a:latin typeface="Arial"/>
              <a:ea typeface="Arial"/>
              <a:cs typeface="Arial"/>
            </a:rPr>
            <a:t>.
 4.  One member of the team must be present for the match. 
      (one substitution is allowed, not two)
 5.  Lost ball/quick play rule - all lost balls are played as lateral
      hazards.  2 MIN. TIME LIMIT!
 6.  Handicaps are based on league performance - 80% of the
      prior 5 weeks of play is used - strokes are given on par 3's
      if applicable.  Maximum golf score per hole for handicap
      purposes = 2 times par.   Those who missed the handicap
      round were assigned a ZERO handicap.  As those indi-
      viduals post scores, the assigned handicap will be re-
      moved.
 7.  Scoring - 1 point per hole, best ball, halves are 1/2 point. 
 8.  No opponent - when playing for points with no opponent,
      points are awarded as follows: net birdie = 1 point, net par
      = 1/2 point.
9.   Preferred lies everywhere but HAZARDS.</a:t>
          </a:r>
        </a:p>
      </xdr:txBody>
    </xdr:sp>
    <xdr:clientData/>
  </xdr:twoCellAnchor>
  <xdr:twoCellAnchor>
    <xdr:from>
      <xdr:col>6</xdr:col>
      <xdr:colOff>438150</xdr:colOff>
      <xdr:row>281</xdr:row>
      <xdr:rowOff>9525</xdr:rowOff>
    </xdr:from>
    <xdr:to>
      <xdr:col>13</xdr:col>
      <xdr:colOff>0</xdr:colOff>
      <xdr:row>298</xdr:row>
      <xdr:rowOff>0</xdr:rowOff>
    </xdr:to>
    <xdr:sp>
      <xdr:nvSpPr>
        <xdr:cNvPr id="6" name="TextBox 23"/>
        <xdr:cNvSpPr txBox="1">
          <a:spLocks noChangeArrowheads="1"/>
        </xdr:cNvSpPr>
      </xdr:nvSpPr>
      <xdr:spPr>
        <a:xfrm>
          <a:off x="4819650" y="66817875"/>
          <a:ext cx="3895725" cy="46863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1.  USGA and local rules apply.
 2.  Teams are responsible for being prompt.  Matches should
      begin at their specified time.  If the second match following
      yours tees off, the team that is missing shall forfeit unless
      prior arrangements have been made. (see rule 3)
 3.  If a team cannot make a match, it is their responsibility to
      make other arrangements </a:t>
          </a:r>
          <a:r>
            <a:rPr lang="en-US" cap="none" sz="1100" b="1" i="0" u="none" baseline="0">
              <a:latin typeface="Arial"/>
              <a:ea typeface="Arial"/>
              <a:cs typeface="Arial"/>
            </a:rPr>
            <a:t>with approval of their
      opponents</a:t>
          </a:r>
          <a:r>
            <a:rPr lang="en-US" cap="none" sz="1100" b="0" i="0" u="none" baseline="0">
              <a:latin typeface="Arial"/>
              <a:ea typeface="Arial"/>
              <a:cs typeface="Arial"/>
            </a:rPr>
            <a:t>.
 4.  One member of the team must be present for the match. 
      (one substitution is allowed, not two)
 5.  Lost ball/quick play rule - all lost balls are played as lateral
      hazards.  2 MIN. TIME LIMIT!
 6.  Handicaps are based on league performance - 80% of the
      prior 5 weeks of play is used - strokes are given on par 3's
      if applicable.  Maximum golf score per hole for handicap
      purposes = 2 times par.   Those who missed the handicap
      round were assigned a ZERO handicap.  As those indi-
      viduals post scores, the assigned handicap will be re-
      moved.
 7.  Scoring - 1 point per hole, best ball, halves are 1/2 point. 
 8.  No opponent - when playing for points with no opponent,
      points are awarded as follows: net birdie = 1 point, net par
      = 1/2 point.
9.   Preferred lies everywhere but HAZARDS.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2</xdr:col>
      <xdr:colOff>1228725</xdr:colOff>
      <xdr:row>0</xdr:row>
      <xdr:rowOff>247650</xdr:rowOff>
    </xdr:to>
    <xdr:sp macro="[0]!Macro31">
      <xdr:nvSpPr>
        <xdr:cNvPr id="1" name="AutoShape 1"/>
        <xdr:cNvSpPr>
          <a:spLocks/>
        </xdr:cNvSpPr>
      </xdr:nvSpPr>
      <xdr:spPr>
        <a:xfrm>
          <a:off x="219075" y="0"/>
          <a:ext cx="2228850" cy="247650"/>
        </a:xfrm>
        <a:prstGeom prst="bevel">
          <a:avLst/>
        </a:prstGeom>
        <a:gradFill rotWithShape="1">
          <a:gsLst>
            <a:gs pos="0">
              <a:srgbClr val="753B3B"/>
            </a:gs>
            <a:gs pos="50000">
              <a:srgbClr val="FF8080"/>
            </a:gs>
            <a:gs pos="100000">
              <a:srgbClr val="753B3B"/>
            </a:gs>
          </a:gsLst>
          <a:lin ang="5400000" scaled="1"/>
        </a:gra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Click Here to Return to Main 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67</xdr:row>
      <xdr:rowOff>152400</xdr:rowOff>
    </xdr:from>
    <xdr:to>
      <xdr:col>3</xdr:col>
      <xdr:colOff>571500</xdr:colOff>
      <xdr:row>69</xdr:row>
      <xdr:rowOff>66675</xdr:rowOff>
    </xdr:to>
    <xdr:sp macro="[0]!Macro31">
      <xdr:nvSpPr>
        <xdr:cNvPr id="1" name="AutoShape 4"/>
        <xdr:cNvSpPr>
          <a:spLocks/>
        </xdr:cNvSpPr>
      </xdr:nvSpPr>
      <xdr:spPr>
        <a:xfrm>
          <a:off x="323850" y="11763375"/>
          <a:ext cx="2390775" cy="238125"/>
        </a:xfrm>
        <a:prstGeom prst="bevel">
          <a:avLst/>
        </a:prstGeom>
        <a:gradFill rotWithShape="1">
          <a:gsLst>
            <a:gs pos="0">
              <a:srgbClr val="753B3B"/>
            </a:gs>
            <a:gs pos="50000">
              <a:srgbClr val="FF8080"/>
            </a:gs>
            <a:gs pos="100000">
              <a:srgbClr val="753B3B"/>
            </a:gs>
          </a:gsLst>
          <a:lin ang="5400000" scaled="1"/>
        </a:gra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Click Here to Return to Main Menu</a:t>
          </a:r>
        </a:p>
      </xdr:txBody>
    </xdr:sp>
    <xdr:clientData/>
  </xdr:twoCellAnchor>
  <xdr:twoCellAnchor>
    <xdr:from>
      <xdr:col>0</xdr:col>
      <xdr:colOff>285750</xdr:colOff>
      <xdr:row>27</xdr:row>
      <xdr:rowOff>133350</xdr:rowOff>
    </xdr:from>
    <xdr:to>
      <xdr:col>3</xdr:col>
      <xdr:colOff>533400</xdr:colOff>
      <xdr:row>29</xdr:row>
      <xdr:rowOff>47625</xdr:rowOff>
    </xdr:to>
    <xdr:sp macro="[0]!Macro31">
      <xdr:nvSpPr>
        <xdr:cNvPr id="2" name="AutoShape 5"/>
        <xdr:cNvSpPr>
          <a:spLocks/>
        </xdr:cNvSpPr>
      </xdr:nvSpPr>
      <xdr:spPr>
        <a:xfrm>
          <a:off x="285750" y="4524375"/>
          <a:ext cx="2390775" cy="238125"/>
        </a:xfrm>
        <a:prstGeom prst="bevel">
          <a:avLst/>
        </a:prstGeom>
        <a:gradFill rotWithShape="1">
          <a:gsLst>
            <a:gs pos="0">
              <a:srgbClr val="753B3B"/>
            </a:gs>
            <a:gs pos="50000">
              <a:srgbClr val="FF8080"/>
            </a:gs>
            <a:gs pos="100000">
              <a:srgbClr val="753B3B"/>
            </a:gs>
          </a:gsLst>
          <a:lin ang="5400000" scaled="1"/>
        </a:gra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Click Here to Return to Main Menu</a:t>
          </a:r>
        </a:p>
      </xdr:txBody>
    </xdr:sp>
    <xdr:clientData/>
  </xdr:twoCellAnchor>
  <xdr:twoCellAnchor>
    <xdr:from>
      <xdr:col>0</xdr:col>
      <xdr:colOff>266700</xdr:colOff>
      <xdr:row>0</xdr:row>
      <xdr:rowOff>9525</xdr:rowOff>
    </xdr:from>
    <xdr:to>
      <xdr:col>3</xdr:col>
      <xdr:colOff>514350</xdr:colOff>
      <xdr:row>1</xdr:row>
      <xdr:rowOff>85725</xdr:rowOff>
    </xdr:to>
    <xdr:sp macro="[0]!Macro31">
      <xdr:nvSpPr>
        <xdr:cNvPr id="3" name="AutoShape 6"/>
        <xdr:cNvSpPr>
          <a:spLocks/>
        </xdr:cNvSpPr>
      </xdr:nvSpPr>
      <xdr:spPr>
        <a:xfrm>
          <a:off x="266700" y="9525"/>
          <a:ext cx="2390775" cy="238125"/>
        </a:xfrm>
        <a:prstGeom prst="bevel">
          <a:avLst/>
        </a:prstGeom>
        <a:gradFill rotWithShape="1">
          <a:gsLst>
            <a:gs pos="0">
              <a:srgbClr val="753B3B"/>
            </a:gs>
            <a:gs pos="50000">
              <a:srgbClr val="FF8080"/>
            </a:gs>
            <a:gs pos="100000">
              <a:srgbClr val="753B3B"/>
            </a:gs>
          </a:gsLst>
          <a:lin ang="5400000" scaled="1"/>
        </a:gra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Click Here to Return to Main Menu</a:t>
          </a:r>
        </a:p>
      </xdr:txBody>
    </xdr:sp>
    <xdr:clientData/>
  </xdr:twoCellAnchor>
  <xdr:twoCellAnchor>
    <xdr:from>
      <xdr:col>4</xdr:col>
      <xdr:colOff>276225</xdr:colOff>
      <xdr:row>0</xdr:row>
      <xdr:rowOff>9525</xdr:rowOff>
    </xdr:from>
    <xdr:to>
      <xdr:col>7</xdr:col>
      <xdr:colOff>504825</xdr:colOff>
      <xdr:row>1</xdr:row>
      <xdr:rowOff>85725</xdr:rowOff>
    </xdr:to>
    <xdr:sp macro="[0]!Macro4">
      <xdr:nvSpPr>
        <xdr:cNvPr id="4" name="AutoShape 7"/>
        <xdr:cNvSpPr>
          <a:spLocks/>
        </xdr:cNvSpPr>
      </xdr:nvSpPr>
      <xdr:spPr>
        <a:xfrm>
          <a:off x="3086100" y="9525"/>
          <a:ext cx="2228850" cy="238125"/>
        </a:xfrm>
        <a:prstGeom prst="bevel">
          <a:avLst/>
        </a:prstGeom>
        <a:gradFill rotWithShape="1">
          <a:gsLst>
            <a:gs pos="0">
              <a:srgbClr val="753B3B"/>
            </a:gs>
            <a:gs pos="50000">
              <a:srgbClr val="FF8080"/>
            </a:gs>
            <a:gs pos="100000">
              <a:srgbClr val="753B3B"/>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Print Schedule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67</xdr:row>
      <xdr:rowOff>152400</xdr:rowOff>
    </xdr:from>
    <xdr:to>
      <xdr:col>3</xdr:col>
      <xdr:colOff>571500</xdr:colOff>
      <xdr:row>69</xdr:row>
      <xdr:rowOff>66675</xdr:rowOff>
    </xdr:to>
    <xdr:sp macro="[0]!Macro31">
      <xdr:nvSpPr>
        <xdr:cNvPr id="1" name="AutoShape 1"/>
        <xdr:cNvSpPr>
          <a:spLocks/>
        </xdr:cNvSpPr>
      </xdr:nvSpPr>
      <xdr:spPr>
        <a:xfrm>
          <a:off x="323850" y="11744325"/>
          <a:ext cx="2228850" cy="238125"/>
        </a:xfrm>
        <a:prstGeom prst="bevel">
          <a:avLst/>
        </a:prstGeom>
        <a:gradFill rotWithShape="1">
          <a:gsLst>
            <a:gs pos="0">
              <a:srgbClr val="753B3B"/>
            </a:gs>
            <a:gs pos="50000">
              <a:srgbClr val="FF8080"/>
            </a:gs>
            <a:gs pos="100000">
              <a:srgbClr val="753B3B"/>
            </a:gs>
          </a:gsLst>
          <a:lin ang="5400000" scaled="1"/>
        </a:gra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Click Here to Return to Main Menu</a:t>
          </a:r>
        </a:p>
      </xdr:txBody>
    </xdr:sp>
    <xdr:clientData/>
  </xdr:twoCellAnchor>
  <xdr:twoCellAnchor>
    <xdr:from>
      <xdr:col>0</xdr:col>
      <xdr:colOff>285750</xdr:colOff>
      <xdr:row>27</xdr:row>
      <xdr:rowOff>133350</xdr:rowOff>
    </xdr:from>
    <xdr:to>
      <xdr:col>3</xdr:col>
      <xdr:colOff>533400</xdr:colOff>
      <xdr:row>29</xdr:row>
      <xdr:rowOff>47625</xdr:rowOff>
    </xdr:to>
    <xdr:sp macro="[0]!Macro31">
      <xdr:nvSpPr>
        <xdr:cNvPr id="2" name="AutoShape 2"/>
        <xdr:cNvSpPr>
          <a:spLocks/>
        </xdr:cNvSpPr>
      </xdr:nvSpPr>
      <xdr:spPr>
        <a:xfrm>
          <a:off x="285750" y="4505325"/>
          <a:ext cx="2228850" cy="238125"/>
        </a:xfrm>
        <a:prstGeom prst="bevel">
          <a:avLst/>
        </a:prstGeom>
        <a:gradFill rotWithShape="1">
          <a:gsLst>
            <a:gs pos="0">
              <a:srgbClr val="753B3B"/>
            </a:gs>
            <a:gs pos="50000">
              <a:srgbClr val="FF8080"/>
            </a:gs>
            <a:gs pos="100000">
              <a:srgbClr val="753B3B"/>
            </a:gs>
          </a:gsLst>
          <a:lin ang="5400000" scaled="1"/>
        </a:gra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Click Here to Return to Main Menu</a:t>
          </a:r>
        </a:p>
      </xdr:txBody>
    </xdr:sp>
    <xdr:clientData/>
  </xdr:twoCellAnchor>
  <xdr:twoCellAnchor>
    <xdr:from>
      <xdr:col>0</xdr:col>
      <xdr:colOff>266700</xdr:colOff>
      <xdr:row>0</xdr:row>
      <xdr:rowOff>9525</xdr:rowOff>
    </xdr:from>
    <xdr:to>
      <xdr:col>3</xdr:col>
      <xdr:colOff>514350</xdr:colOff>
      <xdr:row>1</xdr:row>
      <xdr:rowOff>85725</xdr:rowOff>
    </xdr:to>
    <xdr:sp macro="[0]!Macro31">
      <xdr:nvSpPr>
        <xdr:cNvPr id="3" name="AutoShape 3"/>
        <xdr:cNvSpPr>
          <a:spLocks/>
        </xdr:cNvSpPr>
      </xdr:nvSpPr>
      <xdr:spPr>
        <a:xfrm>
          <a:off x="266700" y="9525"/>
          <a:ext cx="2228850" cy="238125"/>
        </a:xfrm>
        <a:prstGeom prst="bevel">
          <a:avLst/>
        </a:prstGeom>
        <a:gradFill rotWithShape="1">
          <a:gsLst>
            <a:gs pos="0">
              <a:srgbClr val="753B3B"/>
            </a:gs>
            <a:gs pos="50000">
              <a:srgbClr val="FF8080"/>
            </a:gs>
            <a:gs pos="100000">
              <a:srgbClr val="753B3B"/>
            </a:gs>
          </a:gsLst>
          <a:lin ang="5400000" scaled="1"/>
        </a:gra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Click Here to Return to Main Menu</a:t>
          </a:r>
        </a:p>
      </xdr:txBody>
    </xdr:sp>
    <xdr:clientData/>
  </xdr:twoCellAnchor>
  <xdr:twoCellAnchor>
    <xdr:from>
      <xdr:col>4</xdr:col>
      <xdr:colOff>276225</xdr:colOff>
      <xdr:row>0</xdr:row>
      <xdr:rowOff>9525</xdr:rowOff>
    </xdr:from>
    <xdr:to>
      <xdr:col>7</xdr:col>
      <xdr:colOff>504825</xdr:colOff>
      <xdr:row>1</xdr:row>
      <xdr:rowOff>85725</xdr:rowOff>
    </xdr:to>
    <xdr:sp macro="[0]!Macro4">
      <xdr:nvSpPr>
        <xdr:cNvPr id="4" name="AutoShape 4"/>
        <xdr:cNvSpPr>
          <a:spLocks/>
        </xdr:cNvSpPr>
      </xdr:nvSpPr>
      <xdr:spPr>
        <a:xfrm>
          <a:off x="2924175" y="9525"/>
          <a:ext cx="2228850" cy="238125"/>
        </a:xfrm>
        <a:prstGeom prst="bevel">
          <a:avLst/>
        </a:prstGeom>
        <a:gradFill rotWithShape="1">
          <a:gsLst>
            <a:gs pos="0">
              <a:srgbClr val="753B3B"/>
            </a:gs>
            <a:gs pos="50000">
              <a:srgbClr val="FF8080"/>
            </a:gs>
            <a:gs pos="100000">
              <a:srgbClr val="753B3B"/>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Print Schedule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9525</xdr:rowOff>
    </xdr:from>
    <xdr:to>
      <xdr:col>13</xdr:col>
      <xdr:colOff>0</xdr:colOff>
      <xdr:row>27</xdr:row>
      <xdr:rowOff>152400</xdr:rowOff>
    </xdr:to>
    <xdr:sp>
      <xdr:nvSpPr>
        <xdr:cNvPr id="1" name="Rectangle 24"/>
        <xdr:cNvSpPr>
          <a:spLocks/>
        </xdr:cNvSpPr>
      </xdr:nvSpPr>
      <xdr:spPr>
        <a:xfrm>
          <a:off x="9525" y="4000500"/>
          <a:ext cx="8705850" cy="1066800"/>
        </a:xfrm>
        <a:prstGeom prst="rect">
          <a:avLst/>
        </a:prstGeom>
        <a:gradFill rotWithShape="1">
          <a:gsLst>
            <a:gs pos="0">
              <a:srgbClr val="17462F"/>
            </a:gs>
            <a:gs pos="50000">
              <a:srgbClr val="339966"/>
            </a:gs>
            <a:gs pos="100000">
              <a:srgbClr val="17462F"/>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23</xdr:row>
      <xdr:rowOff>190500</xdr:rowOff>
    </xdr:from>
    <xdr:to>
      <xdr:col>2</xdr:col>
      <xdr:colOff>1362075</xdr:colOff>
      <xdr:row>25</xdr:row>
      <xdr:rowOff>76200</xdr:rowOff>
    </xdr:to>
    <xdr:sp macro="[0]!Macro15">
      <xdr:nvSpPr>
        <xdr:cNvPr id="2" name="AutoShape 3"/>
        <xdr:cNvSpPr>
          <a:spLocks/>
        </xdr:cNvSpPr>
      </xdr:nvSpPr>
      <xdr:spPr>
        <a:xfrm>
          <a:off x="1619250" y="4410075"/>
          <a:ext cx="685800" cy="276225"/>
        </a:xfrm>
        <a:prstGeom prst="bevel">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4:30</a:t>
          </a:r>
        </a:p>
      </xdr:txBody>
    </xdr:sp>
    <xdr:clientData/>
  </xdr:twoCellAnchor>
  <xdr:twoCellAnchor>
    <xdr:from>
      <xdr:col>2</xdr:col>
      <xdr:colOff>1466850</xdr:colOff>
      <xdr:row>23</xdr:row>
      <xdr:rowOff>190500</xdr:rowOff>
    </xdr:from>
    <xdr:to>
      <xdr:col>3</xdr:col>
      <xdr:colOff>571500</xdr:colOff>
      <xdr:row>25</xdr:row>
      <xdr:rowOff>76200</xdr:rowOff>
    </xdr:to>
    <xdr:sp macro="[0]!Macro16">
      <xdr:nvSpPr>
        <xdr:cNvPr id="3" name="AutoShape 4"/>
        <xdr:cNvSpPr>
          <a:spLocks/>
        </xdr:cNvSpPr>
      </xdr:nvSpPr>
      <xdr:spPr>
        <a:xfrm>
          <a:off x="2409825" y="4410075"/>
          <a:ext cx="685800" cy="276225"/>
        </a:xfrm>
        <a:prstGeom prst="bevel">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4:38</a:t>
          </a:r>
        </a:p>
      </xdr:txBody>
    </xdr:sp>
    <xdr:clientData/>
  </xdr:twoCellAnchor>
  <xdr:twoCellAnchor>
    <xdr:from>
      <xdr:col>4</xdr:col>
      <xdr:colOff>57150</xdr:colOff>
      <xdr:row>23</xdr:row>
      <xdr:rowOff>190500</xdr:rowOff>
    </xdr:from>
    <xdr:to>
      <xdr:col>5</xdr:col>
      <xdr:colOff>123825</xdr:colOff>
      <xdr:row>25</xdr:row>
      <xdr:rowOff>76200</xdr:rowOff>
    </xdr:to>
    <xdr:sp macro="[0]!Macro17">
      <xdr:nvSpPr>
        <xdr:cNvPr id="4" name="AutoShape 6"/>
        <xdr:cNvSpPr>
          <a:spLocks/>
        </xdr:cNvSpPr>
      </xdr:nvSpPr>
      <xdr:spPr>
        <a:xfrm>
          <a:off x="3200400" y="4410075"/>
          <a:ext cx="685800" cy="276225"/>
        </a:xfrm>
        <a:prstGeom prst="bevel">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4:46</a:t>
          </a:r>
        </a:p>
      </xdr:txBody>
    </xdr:sp>
    <xdr:clientData/>
  </xdr:twoCellAnchor>
  <xdr:twoCellAnchor>
    <xdr:from>
      <xdr:col>5</xdr:col>
      <xdr:colOff>228600</xdr:colOff>
      <xdr:row>23</xdr:row>
      <xdr:rowOff>190500</xdr:rowOff>
    </xdr:from>
    <xdr:to>
      <xdr:col>6</xdr:col>
      <xdr:colOff>295275</xdr:colOff>
      <xdr:row>25</xdr:row>
      <xdr:rowOff>76200</xdr:rowOff>
    </xdr:to>
    <xdr:sp macro="[0]!Macro18">
      <xdr:nvSpPr>
        <xdr:cNvPr id="5" name="AutoShape 7"/>
        <xdr:cNvSpPr>
          <a:spLocks/>
        </xdr:cNvSpPr>
      </xdr:nvSpPr>
      <xdr:spPr>
        <a:xfrm>
          <a:off x="3990975" y="4410075"/>
          <a:ext cx="685800" cy="276225"/>
        </a:xfrm>
        <a:prstGeom prst="bevel">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4:54</a:t>
          </a:r>
        </a:p>
      </xdr:txBody>
    </xdr:sp>
    <xdr:clientData/>
  </xdr:twoCellAnchor>
  <xdr:twoCellAnchor>
    <xdr:from>
      <xdr:col>6</xdr:col>
      <xdr:colOff>400050</xdr:colOff>
      <xdr:row>23</xdr:row>
      <xdr:rowOff>190500</xdr:rowOff>
    </xdr:from>
    <xdr:to>
      <xdr:col>7</xdr:col>
      <xdr:colOff>466725</xdr:colOff>
      <xdr:row>25</xdr:row>
      <xdr:rowOff>76200</xdr:rowOff>
    </xdr:to>
    <xdr:sp macro="[0]!Macro19">
      <xdr:nvSpPr>
        <xdr:cNvPr id="6" name="AutoShape 8"/>
        <xdr:cNvSpPr>
          <a:spLocks/>
        </xdr:cNvSpPr>
      </xdr:nvSpPr>
      <xdr:spPr>
        <a:xfrm>
          <a:off x="4781550" y="4410075"/>
          <a:ext cx="685800" cy="276225"/>
        </a:xfrm>
        <a:prstGeom prst="bevel">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5:02</a:t>
          </a:r>
        </a:p>
      </xdr:txBody>
    </xdr:sp>
    <xdr:clientData/>
  </xdr:twoCellAnchor>
  <xdr:twoCellAnchor>
    <xdr:from>
      <xdr:col>7</xdr:col>
      <xdr:colOff>571500</xdr:colOff>
      <xdr:row>23</xdr:row>
      <xdr:rowOff>190500</xdr:rowOff>
    </xdr:from>
    <xdr:to>
      <xdr:col>9</xdr:col>
      <xdr:colOff>19050</xdr:colOff>
      <xdr:row>25</xdr:row>
      <xdr:rowOff>76200</xdr:rowOff>
    </xdr:to>
    <xdr:sp macro="[0]!Macro20">
      <xdr:nvSpPr>
        <xdr:cNvPr id="7" name="AutoShape 9"/>
        <xdr:cNvSpPr>
          <a:spLocks/>
        </xdr:cNvSpPr>
      </xdr:nvSpPr>
      <xdr:spPr>
        <a:xfrm>
          <a:off x="5572125" y="4410075"/>
          <a:ext cx="685800" cy="276225"/>
        </a:xfrm>
        <a:prstGeom prst="bevel">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5:10</a:t>
          </a:r>
        </a:p>
      </xdr:txBody>
    </xdr:sp>
    <xdr:clientData/>
  </xdr:twoCellAnchor>
  <xdr:twoCellAnchor>
    <xdr:from>
      <xdr:col>9</xdr:col>
      <xdr:colOff>123825</xdr:colOff>
      <xdr:row>23</xdr:row>
      <xdr:rowOff>190500</xdr:rowOff>
    </xdr:from>
    <xdr:to>
      <xdr:col>10</xdr:col>
      <xdr:colOff>190500</xdr:colOff>
      <xdr:row>25</xdr:row>
      <xdr:rowOff>76200</xdr:rowOff>
    </xdr:to>
    <xdr:sp macro="[0]!Macro21">
      <xdr:nvSpPr>
        <xdr:cNvPr id="8" name="AutoShape 10"/>
        <xdr:cNvSpPr>
          <a:spLocks/>
        </xdr:cNvSpPr>
      </xdr:nvSpPr>
      <xdr:spPr>
        <a:xfrm>
          <a:off x="6362700" y="4410075"/>
          <a:ext cx="685800" cy="276225"/>
        </a:xfrm>
        <a:prstGeom prst="bevel">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5:18</a:t>
          </a:r>
        </a:p>
      </xdr:txBody>
    </xdr:sp>
    <xdr:clientData/>
  </xdr:twoCellAnchor>
  <xdr:twoCellAnchor>
    <xdr:from>
      <xdr:col>2</xdr:col>
      <xdr:colOff>676275</xdr:colOff>
      <xdr:row>25</xdr:row>
      <xdr:rowOff>152400</xdr:rowOff>
    </xdr:from>
    <xdr:to>
      <xdr:col>10</xdr:col>
      <xdr:colOff>200025</xdr:colOff>
      <xdr:row>27</xdr:row>
      <xdr:rowOff>133350</xdr:rowOff>
    </xdr:to>
    <xdr:sp macro="[0]!Macro1">
      <xdr:nvSpPr>
        <xdr:cNvPr id="9" name="AutoShape 13"/>
        <xdr:cNvSpPr>
          <a:spLocks/>
        </xdr:cNvSpPr>
      </xdr:nvSpPr>
      <xdr:spPr>
        <a:xfrm>
          <a:off x="1619250" y="4762500"/>
          <a:ext cx="5438775" cy="285750"/>
        </a:xfrm>
        <a:prstGeom prst="bevel">
          <a:avLst/>
        </a:prstGeom>
        <a:gradFill rotWithShape="1">
          <a:gsLst>
            <a:gs pos="0">
              <a:srgbClr val="005B00"/>
            </a:gs>
            <a:gs pos="50000">
              <a:srgbClr val="00FF00"/>
            </a:gs>
            <a:gs pos="100000">
              <a:srgbClr val="005B00"/>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Click Here When All the Match Scores for the Week Have Been Entered</a:t>
          </a:r>
        </a:p>
      </xdr:txBody>
    </xdr:sp>
    <xdr:clientData/>
  </xdr:twoCellAnchor>
  <xdr:twoCellAnchor>
    <xdr:from>
      <xdr:col>3</xdr:col>
      <xdr:colOff>85725</xdr:colOff>
      <xdr:row>22</xdr:row>
      <xdr:rowOff>76200</xdr:rowOff>
    </xdr:from>
    <xdr:to>
      <xdr:col>3</xdr:col>
      <xdr:colOff>571500</xdr:colOff>
      <xdr:row>23</xdr:row>
      <xdr:rowOff>114300</xdr:rowOff>
    </xdr:to>
    <xdr:sp macro="[0]!Macro22">
      <xdr:nvSpPr>
        <xdr:cNvPr id="10" name="AutoShape 15"/>
        <xdr:cNvSpPr>
          <a:spLocks/>
        </xdr:cNvSpPr>
      </xdr:nvSpPr>
      <xdr:spPr>
        <a:xfrm>
          <a:off x="2609850" y="4067175"/>
          <a:ext cx="485775" cy="266700"/>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Wk 1</a:t>
          </a:r>
        </a:p>
      </xdr:txBody>
    </xdr:sp>
    <xdr:clientData/>
  </xdr:twoCellAnchor>
  <xdr:twoCellAnchor>
    <xdr:from>
      <xdr:col>4</xdr:col>
      <xdr:colOff>114300</xdr:colOff>
      <xdr:row>22</xdr:row>
      <xdr:rowOff>76200</xdr:rowOff>
    </xdr:from>
    <xdr:to>
      <xdr:col>5</xdr:col>
      <xdr:colOff>0</xdr:colOff>
      <xdr:row>23</xdr:row>
      <xdr:rowOff>114300</xdr:rowOff>
    </xdr:to>
    <xdr:sp macro="[0]!Macro23">
      <xdr:nvSpPr>
        <xdr:cNvPr id="11" name="AutoShape 16"/>
        <xdr:cNvSpPr>
          <a:spLocks/>
        </xdr:cNvSpPr>
      </xdr:nvSpPr>
      <xdr:spPr>
        <a:xfrm>
          <a:off x="3257550" y="4067175"/>
          <a:ext cx="504825" cy="266700"/>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Wk 2</a:t>
          </a:r>
        </a:p>
      </xdr:txBody>
    </xdr:sp>
    <xdr:clientData/>
  </xdr:twoCellAnchor>
  <xdr:twoCellAnchor>
    <xdr:from>
      <xdr:col>5</xdr:col>
      <xdr:colOff>161925</xdr:colOff>
      <xdr:row>22</xdr:row>
      <xdr:rowOff>76200</xdr:rowOff>
    </xdr:from>
    <xdr:to>
      <xdr:col>6</xdr:col>
      <xdr:colOff>38100</xdr:colOff>
      <xdr:row>23</xdr:row>
      <xdr:rowOff>114300</xdr:rowOff>
    </xdr:to>
    <xdr:sp macro="[0]!Macro24">
      <xdr:nvSpPr>
        <xdr:cNvPr id="12" name="AutoShape 17"/>
        <xdr:cNvSpPr>
          <a:spLocks/>
        </xdr:cNvSpPr>
      </xdr:nvSpPr>
      <xdr:spPr>
        <a:xfrm>
          <a:off x="3924300" y="4067175"/>
          <a:ext cx="495300" cy="266700"/>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Wk 3</a:t>
          </a:r>
        </a:p>
      </xdr:txBody>
    </xdr:sp>
    <xdr:clientData/>
  </xdr:twoCellAnchor>
  <xdr:twoCellAnchor>
    <xdr:from>
      <xdr:col>6</xdr:col>
      <xdr:colOff>209550</xdr:colOff>
      <xdr:row>22</xdr:row>
      <xdr:rowOff>76200</xdr:rowOff>
    </xdr:from>
    <xdr:to>
      <xdr:col>7</xdr:col>
      <xdr:colOff>76200</xdr:colOff>
      <xdr:row>23</xdr:row>
      <xdr:rowOff>114300</xdr:rowOff>
    </xdr:to>
    <xdr:sp macro="[0]!Macro25">
      <xdr:nvSpPr>
        <xdr:cNvPr id="13" name="AutoShape 18"/>
        <xdr:cNvSpPr>
          <a:spLocks/>
        </xdr:cNvSpPr>
      </xdr:nvSpPr>
      <xdr:spPr>
        <a:xfrm>
          <a:off x="4591050" y="4067175"/>
          <a:ext cx="485775" cy="266700"/>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Wk 4</a:t>
          </a:r>
        </a:p>
      </xdr:txBody>
    </xdr:sp>
    <xdr:clientData/>
  </xdr:twoCellAnchor>
  <xdr:twoCellAnchor>
    <xdr:from>
      <xdr:col>7</xdr:col>
      <xdr:colOff>247650</xdr:colOff>
      <xdr:row>22</xdr:row>
      <xdr:rowOff>76200</xdr:rowOff>
    </xdr:from>
    <xdr:to>
      <xdr:col>8</xdr:col>
      <xdr:colOff>114300</xdr:colOff>
      <xdr:row>23</xdr:row>
      <xdr:rowOff>114300</xdr:rowOff>
    </xdr:to>
    <xdr:sp macro="[0]!Macro26">
      <xdr:nvSpPr>
        <xdr:cNvPr id="14" name="AutoShape 19"/>
        <xdr:cNvSpPr>
          <a:spLocks/>
        </xdr:cNvSpPr>
      </xdr:nvSpPr>
      <xdr:spPr>
        <a:xfrm>
          <a:off x="5248275" y="4067175"/>
          <a:ext cx="485775" cy="266700"/>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Wk 5</a:t>
          </a:r>
        </a:p>
      </xdr:txBody>
    </xdr:sp>
    <xdr:clientData/>
  </xdr:twoCellAnchor>
  <xdr:twoCellAnchor>
    <xdr:from>
      <xdr:col>8</xdr:col>
      <xdr:colOff>285750</xdr:colOff>
      <xdr:row>22</xdr:row>
      <xdr:rowOff>76200</xdr:rowOff>
    </xdr:from>
    <xdr:to>
      <xdr:col>9</xdr:col>
      <xdr:colOff>152400</xdr:colOff>
      <xdr:row>23</xdr:row>
      <xdr:rowOff>114300</xdr:rowOff>
    </xdr:to>
    <xdr:sp macro="[0]!Macro27">
      <xdr:nvSpPr>
        <xdr:cNvPr id="15" name="AutoShape 20"/>
        <xdr:cNvSpPr>
          <a:spLocks/>
        </xdr:cNvSpPr>
      </xdr:nvSpPr>
      <xdr:spPr>
        <a:xfrm>
          <a:off x="5905500" y="4067175"/>
          <a:ext cx="485775" cy="266700"/>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Wk 6</a:t>
          </a:r>
        </a:p>
      </xdr:txBody>
    </xdr:sp>
    <xdr:clientData/>
  </xdr:twoCellAnchor>
  <xdr:twoCellAnchor>
    <xdr:from>
      <xdr:col>9</xdr:col>
      <xdr:colOff>314325</xdr:colOff>
      <xdr:row>22</xdr:row>
      <xdr:rowOff>76200</xdr:rowOff>
    </xdr:from>
    <xdr:to>
      <xdr:col>10</xdr:col>
      <xdr:colOff>180975</xdr:colOff>
      <xdr:row>23</xdr:row>
      <xdr:rowOff>114300</xdr:rowOff>
    </xdr:to>
    <xdr:sp macro="[0]!Macro28">
      <xdr:nvSpPr>
        <xdr:cNvPr id="16" name="AutoShape 21"/>
        <xdr:cNvSpPr>
          <a:spLocks/>
        </xdr:cNvSpPr>
      </xdr:nvSpPr>
      <xdr:spPr>
        <a:xfrm>
          <a:off x="6553200" y="4067175"/>
          <a:ext cx="485775" cy="266700"/>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Wk 7</a:t>
          </a:r>
        </a:p>
      </xdr:txBody>
    </xdr:sp>
    <xdr:clientData/>
  </xdr:twoCellAnchor>
  <xdr:twoCellAnchor>
    <xdr:from>
      <xdr:col>0</xdr:col>
      <xdr:colOff>66675</xdr:colOff>
      <xdr:row>22</xdr:row>
      <xdr:rowOff>66675</xdr:rowOff>
    </xdr:from>
    <xdr:to>
      <xdr:col>2</xdr:col>
      <xdr:colOff>590550</xdr:colOff>
      <xdr:row>27</xdr:row>
      <xdr:rowOff>123825</xdr:rowOff>
    </xdr:to>
    <xdr:sp macro="[0]!Macro31">
      <xdr:nvSpPr>
        <xdr:cNvPr id="17" name="AutoShape 22"/>
        <xdr:cNvSpPr>
          <a:spLocks/>
        </xdr:cNvSpPr>
      </xdr:nvSpPr>
      <xdr:spPr>
        <a:xfrm>
          <a:off x="66675" y="4057650"/>
          <a:ext cx="1466850" cy="981075"/>
        </a:xfrm>
        <a:prstGeom prst="bevel">
          <a:avLst/>
        </a:prstGeom>
        <a:gradFill rotWithShape="1">
          <a:gsLst>
            <a:gs pos="0">
              <a:srgbClr val="124949"/>
            </a:gs>
            <a:gs pos="50000">
              <a:srgbClr val="33CCCC"/>
            </a:gs>
            <a:gs pos="100000">
              <a:srgbClr val="124949"/>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Click Here to Return to Main Menu Without Entering Data</a:t>
          </a:r>
        </a:p>
      </xdr:txBody>
    </xdr:sp>
    <xdr:clientData/>
  </xdr:twoCellAnchor>
  <xdr:twoCellAnchor>
    <xdr:from>
      <xdr:col>10</xdr:col>
      <xdr:colOff>295275</xdr:colOff>
      <xdr:row>22</xdr:row>
      <xdr:rowOff>76200</xdr:rowOff>
    </xdr:from>
    <xdr:to>
      <xdr:col>12</xdr:col>
      <xdr:colOff>523875</xdr:colOff>
      <xdr:row>27</xdr:row>
      <xdr:rowOff>114300</xdr:rowOff>
    </xdr:to>
    <xdr:sp macro="[0]!Macro2">
      <xdr:nvSpPr>
        <xdr:cNvPr id="18" name="AutoShape 23"/>
        <xdr:cNvSpPr>
          <a:spLocks/>
        </xdr:cNvSpPr>
      </xdr:nvSpPr>
      <xdr:spPr>
        <a:xfrm>
          <a:off x="7153275" y="4067175"/>
          <a:ext cx="1466850" cy="962025"/>
        </a:xfrm>
        <a:prstGeom prst="bevel">
          <a:avLst/>
        </a:prstGeom>
        <a:gradFill rotWithShape="1">
          <a:gsLst>
            <a:gs pos="0">
              <a:srgbClr val="124949"/>
            </a:gs>
            <a:gs pos="50000">
              <a:srgbClr val="33CCCC"/>
            </a:gs>
            <a:gs pos="100000">
              <a:srgbClr val="124949"/>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Click Here After Entering the Four Scores for the Match</a:t>
          </a:r>
        </a:p>
      </xdr:txBody>
    </xdr:sp>
    <xdr:clientData/>
  </xdr:twoCellAnchor>
  <xdr:twoCellAnchor>
    <xdr:from>
      <xdr:col>2</xdr:col>
      <xdr:colOff>676275</xdr:colOff>
      <xdr:row>22</xdr:row>
      <xdr:rowOff>76200</xdr:rowOff>
    </xdr:from>
    <xdr:to>
      <xdr:col>2</xdr:col>
      <xdr:colOff>1514475</xdr:colOff>
      <xdr:row>23</xdr:row>
      <xdr:rowOff>114300</xdr:rowOff>
    </xdr:to>
    <xdr:sp macro="[0]!Macro35">
      <xdr:nvSpPr>
        <xdr:cNvPr id="19" name="AutoShape 29"/>
        <xdr:cNvSpPr>
          <a:spLocks/>
        </xdr:cNvSpPr>
      </xdr:nvSpPr>
      <xdr:spPr>
        <a:xfrm>
          <a:off x="1619250" y="4067175"/>
          <a:ext cx="838200" cy="266700"/>
        </a:xfrm>
        <a:prstGeom prst="bevel">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Wk 0 (Hcp)</a:t>
          </a:r>
        </a:p>
      </xdr:txBody>
    </xdr:sp>
    <xdr:clientData/>
  </xdr:twoCellAnchor>
  <xdr:twoCellAnchor>
    <xdr:from>
      <xdr:col>0</xdr:col>
      <xdr:colOff>47625</xdr:colOff>
      <xdr:row>20</xdr:row>
      <xdr:rowOff>47625</xdr:rowOff>
    </xdr:from>
    <xdr:to>
      <xdr:col>2</xdr:col>
      <xdr:colOff>1533525</xdr:colOff>
      <xdr:row>21</xdr:row>
      <xdr:rowOff>180975</xdr:rowOff>
    </xdr:to>
    <xdr:sp>
      <xdr:nvSpPr>
        <xdr:cNvPr id="20" name="AutoShape 31"/>
        <xdr:cNvSpPr>
          <a:spLocks/>
        </xdr:cNvSpPr>
      </xdr:nvSpPr>
      <xdr:spPr>
        <a:xfrm>
          <a:off x="47625" y="3686175"/>
          <a:ext cx="2428875" cy="285750"/>
        </a:xfrm>
        <a:prstGeom prst="bevel">
          <a:avLst/>
        </a:prstGeom>
        <a:gradFill rotWithShape="1">
          <a:gsLst>
            <a:gs pos="0">
              <a:srgbClr val="755E46"/>
            </a:gs>
            <a:gs pos="50000">
              <a:srgbClr val="FFCC99"/>
            </a:gs>
            <a:gs pos="100000">
              <a:srgbClr val="755E46"/>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Click on Week, Then on Tee Time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
  <dimension ref="A1:A1"/>
  <sheetViews>
    <sheetView showGridLines="0" showRowColHeaders="0" tabSelected="1" showOutlineSymbols="0" workbookViewId="0" topLeftCell="A1">
      <selection activeCell="P23" sqref="P23"/>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2"/>
  <dimension ref="A1:A1"/>
  <sheetViews>
    <sheetView showGridLines="0" showRowColHeaders="0" showOutlineSymbols="0" workbookViewId="0" topLeftCell="A1">
      <selection activeCell="Q28" sqref="Q28"/>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A1:O394"/>
  <sheetViews>
    <sheetView showGridLines="0" showRowColHeaders="0" workbookViewId="0" topLeftCell="H1">
      <selection activeCell="N6" sqref="N6"/>
    </sheetView>
  </sheetViews>
  <sheetFormatPr defaultColWidth="9.140625" defaultRowHeight="12.75"/>
  <cols>
    <col min="1" max="1" width="7.140625" style="0" customWidth="1"/>
    <col min="2" max="2" width="7.00390625" style="0" customWidth="1"/>
    <col min="3" max="3" width="23.7109375" style="0" customWidth="1"/>
    <col min="4" max="13" width="9.28125" style="0" customWidth="1"/>
    <col min="14" max="14" width="9.140625" style="9" customWidth="1"/>
  </cols>
  <sheetData>
    <row r="1" spans="1:13" ht="21" customHeight="1">
      <c r="A1" s="219" t="s">
        <v>9</v>
      </c>
      <c r="B1" s="220"/>
      <c r="C1" s="220"/>
      <c r="D1" s="220"/>
      <c r="E1" s="220"/>
      <c r="F1" s="220"/>
      <c r="G1" s="220"/>
      <c r="H1" s="220"/>
      <c r="I1" s="220"/>
      <c r="J1" s="220"/>
      <c r="K1" s="220"/>
      <c r="L1" s="220"/>
      <c r="M1" s="221"/>
    </row>
    <row r="2" spans="1:13" ht="21" customHeight="1">
      <c r="A2" s="222" t="str">
        <f>"Romano Golf League - "&amp;N6&amp;" - "&amp;N8&amp;" - "&amp;TEXT(N7,"MMM dd, yyyy")</f>
        <v>Romano Golf League - Week 3 - FRONT - Jul 05, 2006</v>
      </c>
      <c r="B2" s="223"/>
      <c r="C2" s="223"/>
      <c r="D2" s="223"/>
      <c r="E2" s="223"/>
      <c r="F2" s="223"/>
      <c r="G2" s="223"/>
      <c r="H2" s="223"/>
      <c r="I2" s="223"/>
      <c r="J2" s="223"/>
      <c r="K2" s="223"/>
      <c r="L2" s="223"/>
      <c r="M2" s="224"/>
    </row>
    <row r="3" spans="1:15" ht="21" customHeight="1">
      <c r="A3" s="227"/>
      <c r="B3" s="227"/>
      <c r="C3" s="227"/>
      <c r="D3" s="227"/>
      <c r="E3" s="227"/>
      <c r="F3" s="227"/>
      <c r="G3" s="227"/>
      <c r="H3" s="227"/>
      <c r="I3" s="227"/>
      <c r="J3" s="227"/>
      <c r="K3" s="227"/>
      <c r="L3" s="227"/>
      <c r="M3" s="227"/>
      <c r="O3" s="11"/>
    </row>
    <row r="4" spans="1:15" ht="21" customHeight="1">
      <c r="A4" s="228" t="s">
        <v>10</v>
      </c>
      <c r="B4" s="228"/>
      <c r="C4" s="228"/>
      <c r="D4" s="77">
        <f>IF(LEFT($N$8)="F",1,IF(LEFT($N$8)="B",10,"ERROR"))</f>
        <v>1</v>
      </c>
      <c r="E4" s="77">
        <f>IF(LEFT($N$8)="F",2,IF(LEFT($N$8)="B",11,"ERROR"))</f>
        <v>2</v>
      </c>
      <c r="F4" s="77">
        <f>IF(LEFT($N$8)="F",3,IF(LEFT($N$8)="B",12,"ERROR"))</f>
        <v>3</v>
      </c>
      <c r="G4" s="77">
        <f>IF(LEFT($N$8)="F",4,IF(LEFT($N$8)="B",13,"ERROR"))</f>
        <v>4</v>
      </c>
      <c r="H4" s="77">
        <f>IF(LEFT($N$8)="F",5,IF(LEFT($N$8)="B",14,"ERROR"))</f>
        <v>5</v>
      </c>
      <c r="I4" s="77">
        <f>IF(LEFT($N$8)="F",6,IF(LEFT($N$8)="B",15,"ERROR"))</f>
        <v>6</v>
      </c>
      <c r="J4" s="77">
        <f>IF(LEFT($N$8)="F",7,IF(LEFT($N$8)="B",16,"ERROR"))</f>
        <v>7</v>
      </c>
      <c r="K4" s="77">
        <f>IF(LEFT($N$8)="F",8,IF(LEFT($N$8)="B",17,"ERROR"))</f>
        <v>8</v>
      </c>
      <c r="L4" s="77">
        <f>IF(LEFT($N$8)="F",9,IF(LEFT($N$8)="B",18,"ERROR"))</f>
        <v>9</v>
      </c>
      <c r="M4" s="77" t="str">
        <f>IF(LEFT($N$8)="F","OUT",IF(LEFT($N$8)="B","IN","ERROR"))</f>
        <v>OUT</v>
      </c>
      <c r="O4" s="11"/>
    </row>
    <row r="5" spans="1:15" ht="21" customHeight="1">
      <c r="A5" s="229" t="s">
        <v>11</v>
      </c>
      <c r="B5" s="229"/>
      <c r="C5" s="229"/>
      <c r="D5" s="78">
        <f>IF(D4=1,460,IF(D4=10,345,"ERROR"))</f>
        <v>460</v>
      </c>
      <c r="E5" s="78">
        <f>IF(E4=2,275,IF(E4=11,220,"ERROR"))</f>
        <v>275</v>
      </c>
      <c r="F5" s="78">
        <f>IF(F4=3,525,IF(F4=12,330,"ERROR"))</f>
        <v>525</v>
      </c>
      <c r="G5" s="78">
        <f>IF(G4=4,295,IF(G4=13,435,"ERROR"))</f>
        <v>295</v>
      </c>
      <c r="H5" s="78">
        <f>IF(H4=5,345,IF(H4=14,145,"ERROR"))</f>
        <v>345</v>
      </c>
      <c r="I5" s="78">
        <f>IF(I4=6,175,IF(I4=15,315,"ERROR"))</f>
        <v>175</v>
      </c>
      <c r="J5" s="78">
        <f>IF(J4=7,405,IF(J4=16,130,"ERROR"))</f>
        <v>405</v>
      </c>
      <c r="K5" s="78">
        <f>IF(K4=8,145,IF(K4=17,300,"ERROR"))</f>
        <v>145</v>
      </c>
      <c r="L5" s="78">
        <f>IF(L4=9,320,IF(L4=18,340,"ERROR"))</f>
        <v>320</v>
      </c>
      <c r="M5" s="78">
        <f>SUM(D5:L5)</f>
        <v>2945</v>
      </c>
      <c r="O5" s="11"/>
    </row>
    <row r="6" spans="1:15" ht="21" customHeight="1">
      <c r="A6" s="216" t="s">
        <v>17</v>
      </c>
      <c r="B6" s="216"/>
      <c r="C6" s="216"/>
      <c r="D6" s="78">
        <f>IF(D$4=1,5,IF(D$4=10,5,"ERROR"))</f>
        <v>5</v>
      </c>
      <c r="E6" s="78">
        <f>IF(E4=2,4,IF(E4=11,4,"ERROR"))</f>
        <v>4</v>
      </c>
      <c r="F6" s="78">
        <f>IF(F4=3,5,IF(F4=12,4,"ERROR"))</f>
        <v>5</v>
      </c>
      <c r="G6" s="78">
        <f>IF(G4=4,4,IF(G4=13,5,"ERROR"))</f>
        <v>4</v>
      </c>
      <c r="H6" s="78">
        <f>IF(H4=5,4,IF(H4=14,3,"ERROR"))</f>
        <v>4</v>
      </c>
      <c r="I6" s="78">
        <f>IF(I4=6,3,IF(I4=15,4,"ERROR"))</f>
        <v>3</v>
      </c>
      <c r="J6" s="78">
        <f>IF(J4=7,4,IF(J4=16,3,"ERROR"))</f>
        <v>4</v>
      </c>
      <c r="K6" s="78">
        <f>IF(K4=8,3,IF(K4=17,4,"ERROR"))</f>
        <v>3</v>
      </c>
      <c r="L6" s="78">
        <f>IF(L4=9,4,IF(L4=18,4,"ERROR"))</f>
        <v>4</v>
      </c>
      <c r="M6" s="78">
        <f>SUM(D6:L6)</f>
        <v>36</v>
      </c>
      <c r="N6" s="17" t="s">
        <v>20</v>
      </c>
      <c r="O6" s="17" t="s">
        <v>18</v>
      </c>
    </row>
    <row r="7" spans="1:15" ht="21" customHeight="1">
      <c r="A7" s="225" t="s">
        <v>16</v>
      </c>
      <c r="B7" s="226"/>
      <c r="C7" s="226"/>
      <c r="D7" s="79">
        <f>IF(D$4=1,5,IF(D$4=10,6,"ERROR"))</f>
        <v>5</v>
      </c>
      <c r="E7" s="79">
        <f>IF(E4=2,7,IF(E4=11,10,"ERROR"))</f>
        <v>7</v>
      </c>
      <c r="F7" s="79">
        <f>IF(F4=3,3,IF(F4=12,8,"ERROR"))</f>
        <v>3</v>
      </c>
      <c r="G7" s="79">
        <f>IF(G4=4,9,IF(G4=13,4,"ERROR"))</f>
        <v>9</v>
      </c>
      <c r="H7" s="79">
        <f>IF(H4=5,11,IF(H4=14,16,"ERROR"))</f>
        <v>11</v>
      </c>
      <c r="I7" s="79">
        <f>IF(I4=6,17,IF(I4=15,12,"ERROR"))</f>
        <v>17</v>
      </c>
      <c r="J7" s="79">
        <f>IF(J4=7,1,IF(J4=16,18,"ERROR"))</f>
        <v>1</v>
      </c>
      <c r="K7" s="79">
        <f>IF(K4=8,15,IF(K4=17,14,"ERROR"))</f>
        <v>15</v>
      </c>
      <c r="L7" s="79">
        <f>IF(L4=9,13,IF(L4=18,2,"ERROR"))</f>
        <v>13</v>
      </c>
      <c r="M7" s="80"/>
      <c r="N7" s="15">
        <f>HLOOKUP(N6,'SCHEDULE &amp; POINTS'!C4:I6,2)</f>
        <v>38903</v>
      </c>
      <c r="O7" s="17" t="s">
        <v>19</v>
      </c>
    </row>
    <row r="8" spans="1:15" ht="21" customHeight="1">
      <c r="A8" s="213" t="s">
        <v>12</v>
      </c>
      <c r="B8" s="213"/>
      <c r="C8" s="213"/>
      <c r="D8" s="75">
        <f>IF(D4=1,375,IF(D4=10,290,"ERROR"))</f>
        <v>375</v>
      </c>
      <c r="E8" s="75">
        <f>IF(E4=2,250,IF(E4=11,200,"ERROR"))</f>
        <v>250</v>
      </c>
      <c r="F8" s="75">
        <f>IF(F4=3,475,IF(F4=12,205,"ERROR"))</f>
        <v>475</v>
      </c>
      <c r="G8" s="75">
        <f>IF(G4=4,255,IF(G4=13,350,"ERROR"))</f>
        <v>255</v>
      </c>
      <c r="H8" s="75">
        <f>IF(H4=5,325,IF(H4=14,140,"ERROR"))</f>
        <v>325</v>
      </c>
      <c r="I8" s="75">
        <f>IF(I4=6,155,IF(I4=15,290,"ERROR"))</f>
        <v>155</v>
      </c>
      <c r="J8" s="75">
        <f>IF(J4=7,375,IF(J4=16,125,"ERROR"))</f>
        <v>375</v>
      </c>
      <c r="K8" s="75">
        <f>IF(K4=8,130,IF(K4=17,255,"ERROR"))</f>
        <v>130</v>
      </c>
      <c r="L8" s="75">
        <f>IF(L4=9,290,IF(L4=18,280,"ERROR"))</f>
        <v>290</v>
      </c>
      <c r="M8" s="76">
        <f>SUM(D8:L8)</f>
        <v>2630</v>
      </c>
      <c r="N8" s="16" t="str">
        <f>HLOOKUP(N6,'SCHEDULE &amp; POINTS'!C4:I6,3)</f>
        <v>FRONT</v>
      </c>
      <c r="O8" s="17" t="s">
        <v>20</v>
      </c>
    </row>
    <row r="9" spans="1:15" ht="21" customHeight="1">
      <c r="A9" s="216" t="s">
        <v>15</v>
      </c>
      <c r="B9" s="216"/>
      <c r="C9" s="216"/>
      <c r="D9" s="78">
        <f>IF(D$4=1,5,IF(D$4=10,4,"ERROR"))</f>
        <v>5</v>
      </c>
      <c r="E9" s="78">
        <f>IF(E$4=2,4,IF(E$4=11,4,"ERROR"))</f>
        <v>4</v>
      </c>
      <c r="F9" s="78">
        <f>IF(F$4=3,5,IF(F$4=12,4,"ERROR"))</f>
        <v>5</v>
      </c>
      <c r="G9" s="78">
        <f>IF(G$4=4,4,IF(G$4=13,5,"ERROR"))</f>
        <v>4</v>
      </c>
      <c r="H9" s="78">
        <f>IF(H$4=5,4,IF(H$4=14,3,"ERROR"))</f>
        <v>4</v>
      </c>
      <c r="I9" s="78">
        <f>IF(I$4=6,3,IF(I$4=15,4,"ERROR"))</f>
        <v>3</v>
      </c>
      <c r="J9" s="78">
        <f>IF(J$4=7,5,IF(J$4=16,3,"ERROR"))</f>
        <v>5</v>
      </c>
      <c r="K9" s="78">
        <f>IF(K$4=8,3,IF(K$4=17,4,"ERROR"))</f>
        <v>3</v>
      </c>
      <c r="L9" s="78">
        <f>IF(L$4=9,4,IF(L$4=18,4,"ERROR"))</f>
        <v>4</v>
      </c>
      <c r="M9" s="78">
        <f>SUM(D9:L9)</f>
        <v>37</v>
      </c>
      <c r="N9" s="17">
        <v>0.1875</v>
      </c>
      <c r="O9" s="17" t="s">
        <v>21</v>
      </c>
    </row>
    <row r="10" spans="1:15" ht="21" customHeight="1">
      <c r="A10" s="81" t="s">
        <v>0</v>
      </c>
      <c r="B10" s="81" t="s">
        <v>1</v>
      </c>
      <c r="C10" s="82" t="s">
        <v>13</v>
      </c>
      <c r="D10" s="83">
        <f>IF(D$4=1,5,IF(D$4=10,4,"ERROR"))</f>
        <v>5</v>
      </c>
      <c r="E10" s="83">
        <f>IF(E$4=2,7,IF(E$4=11,2,"ERROR"))</f>
        <v>7</v>
      </c>
      <c r="F10" s="83">
        <f>IF(F$4=3,3,IF(F$4=12,8,"ERROR"))</f>
        <v>3</v>
      </c>
      <c r="G10" s="83">
        <f>IF(G$4=4,9,IF(G$4=13,6,"ERROR"))</f>
        <v>9</v>
      </c>
      <c r="H10" s="83">
        <f>IF(H$4=5,11,IF(H$4=14,16,"ERROR"))</f>
        <v>11</v>
      </c>
      <c r="I10" s="83">
        <f>IF(I$4=6,17,IF(I$4=15,12,"ERROR"))</f>
        <v>17</v>
      </c>
      <c r="J10" s="83">
        <f>IF(J$4=7,1,IF(J$4=16,18,"ERROR"))</f>
        <v>1</v>
      </c>
      <c r="K10" s="83">
        <f>IF(K$4=8,15,IF(K$4=17,14,"ERROR"))</f>
        <v>15</v>
      </c>
      <c r="L10" s="83">
        <f>IF(L$4=9,13,IF(L$4=18,10,"ERROR"))</f>
        <v>13</v>
      </c>
      <c r="M10" s="84"/>
      <c r="N10" s="16" t="str">
        <f>VLOOKUP($N$9,'SCHEDULE &amp; POINTS'!$B$8:$I$14,RIGHT($N$6)+1,FALSE)</f>
        <v>1 v 11</v>
      </c>
      <c r="O10" s="17" t="s">
        <v>22</v>
      </c>
    </row>
    <row r="11" spans="1:15" ht="12" customHeight="1">
      <c r="A11" s="27"/>
      <c r="B11" s="73"/>
      <c r="C11" s="27"/>
      <c r="D11" s="38">
        <f>IF($B25-9&gt;=IF(VLOOKUP($B12,'SCORES &amp; HANDICAP CALCULATOR'!$B$3:$E$67,3,FALSE)="F",D$24,D$23),2,IF($B25&gt;=IF(VLOOKUP($B12,'SCORES &amp; HANDICAP CALCULATOR'!$B$3:$E$67,3,FALSE)="F",D$24,D$23),1,0))</f>
        <v>0</v>
      </c>
      <c r="E11" s="38">
        <f>IF($B25-9&gt;=IF(VLOOKUP($B12,'SCORES &amp; HANDICAP CALCULATOR'!$B$3:$E$67,3,FALSE)="F",E$24,E$23),2,IF($B25&gt;=IF(VLOOKUP($B12,'SCORES &amp; HANDICAP CALCULATOR'!$B$3:$E$67,3,FALSE)="F",E$24,E$23),1,0))</f>
        <v>0</v>
      </c>
      <c r="F11" s="38">
        <f>IF($B25-9&gt;=IF(VLOOKUP($B12,'SCORES &amp; HANDICAP CALCULATOR'!$B$3:$E$67,3,FALSE)="F",F$24,F$23),2,IF($B25&gt;=IF(VLOOKUP($B12,'SCORES &amp; HANDICAP CALCULATOR'!$B$3:$E$67,3,FALSE)="F",F$24,F$23),1,0))</f>
        <v>0</v>
      </c>
      <c r="G11" s="38">
        <f>IF($B25-9&gt;=IF(VLOOKUP($B12,'SCORES &amp; HANDICAP CALCULATOR'!$B$3:$E$67,3,FALSE)="F",G$24,G$23),2,IF($B25&gt;=IF(VLOOKUP($B12,'SCORES &amp; HANDICAP CALCULATOR'!$B$3:$E$67,3,FALSE)="F",G$24,G$23),1,0))</f>
        <v>0</v>
      </c>
      <c r="H11" s="38">
        <f>IF($B25-9&gt;=IF(VLOOKUP($B12,'SCORES &amp; HANDICAP CALCULATOR'!$B$3:$E$67,3,FALSE)="F",H$24,H$23),2,IF($B25&gt;=IF(VLOOKUP($B12,'SCORES &amp; HANDICAP CALCULATOR'!$B$3:$E$67,3,FALSE)="F",H$24,H$23),1,0))</f>
        <v>0</v>
      </c>
      <c r="I11" s="38">
        <f>IF($B25-9&gt;=IF(VLOOKUP($B12,'SCORES &amp; HANDICAP CALCULATOR'!$B$3:$E$67,3,FALSE)="F",I$24,I$23),2,IF($B25&gt;=IF(VLOOKUP($B12,'SCORES &amp; HANDICAP CALCULATOR'!$B$3:$E$67,3,FALSE)="F",I$24,I$23),1,0))</f>
        <v>0</v>
      </c>
      <c r="J11" s="38">
        <f>IF($B25-9&gt;=IF(VLOOKUP($B12,'SCORES &amp; HANDICAP CALCULATOR'!$B$3:$E$67,3,FALSE)="F",J$24,J$23),2,IF($B25&gt;=IF(VLOOKUP($B12,'SCORES &amp; HANDICAP CALCULATOR'!$B$3:$E$67,3,FALSE)="F",J$24,J$23),1,0))</f>
        <v>0</v>
      </c>
      <c r="K11" s="38">
        <f>IF($B25-9&gt;=IF(VLOOKUP($B12,'SCORES &amp; HANDICAP CALCULATOR'!$B$3:$E$67,3,FALSE)="F",K$24,K$23),2,IF($B25&gt;=IF(VLOOKUP($B12,'SCORES &amp; HANDICAP CALCULATOR'!$B$3:$E$67,3,FALSE)="F",K$24,K$23),1,0))</f>
        <v>0</v>
      </c>
      <c r="L11" s="38">
        <f>IF($B25-9&gt;=IF(VLOOKUP($B12,'SCORES &amp; HANDICAP CALCULATOR'!$B$3:$E$67,3,FALSE)="F",L$24,L$23),2,IF($B25&gt;=IF(VLOOKUP($B12,'SCORES &amp; HANDICAP CALCULATOR'!$B$3:$E$67,3,FALSE)="F",L$24,L$23),1,0))</f>
        <v>0</v>
      </c>
      <c r="M11" s="38">
        <f>SUM(D11:L11)</f>
        <v>0</v>
      </c>
      <c r="O11" s="17" t="s">
        <v>23</v>
      </c>
    </row>
    <row r="12" spans="1:15" ht="34.5" customHeight="1">
      <c r="A12" s="54">
        <f>VLOOKUP(B12,'SCORES &amp; HANDICAP CALCULATOR'!$B$3:$E$67,4,FALSE)</f>
        <v>7</v>
      </c>
      <c r="B12" s="54" t="str">
        <f>$N$12&amp;"A"</f>
        <v>1A</v>
      </c>
      <c r="C12" s="54" t="str">
        <f>VLOOKUP(B12,'SCORES &amp; HANDICAP CALCULATOR'!$B$3:$E$50,2,FALSE)</f>
        <v>Gary Bittner</v>
      </c>
      <c r="D12" s="29"/>
      <c r="E12" s="30"/>
      <c r="F12" s="30"/>
      <c r="G12" s="30"/>
      <c r="H12" s="30"/>
      <c r="I12" s="30"/>
      <c r="J12" s="30"/>
      <c r="K12" s="30"/>
      <c r="L12" s="30"/>
      <c r="M12" s="30"/>
      <c r="N12" s="9" t="str">
        <f>LEFT(SUBSTITUTE(N10," v ",","),FIND(",",SUBSTITUTE(N10," v ",","))-1)</f>
        <v>1</v>
      </c>
      <c r="O12" s="17" t="s">
        <v>24</v>
      </c>
    </row>
    <row r="13" spans="1:13" ht="12" customHeight="1">
      <c r="A13" s="27"/>
      <c r="B13" s="70"/>
      <c r="C13" s="27"/>
      <c r="D13" s="38">
        <f>IF($B26-9&gt;=IF(VLOOKUP($B14,'SCORES &amp; HANDICAP CALCULATOR'!$B$3:$E$67,3,FALSE)="F",D$24,D$23),2,IF($B26&gt;=IF(VLOOKUP($B14,'SCORES &amp; HANDICAP CALCULATOR'!$B$3:$E$67,3,FALSE)="F",D$24,D$23),1,0))</f>
        <v>0</v>
      </c>
      <c r="E13" s="38">
        <f>IF($B26-9&gt;=IF(VLOOKUP($B14,'SCORES &amp; HANDICAP CALCULATOR'!$B$3:$E$67,3,FALSE)="F",E$24,E$23),2,IF($B26&gt;=IF(VLOOKUP($B14,'SCORES &amp; HANDICAP CALCULATOR'!$B$3:$E$67,3,FALSE)="F",E$24,E$23),1,0))</f>
        <v>0</v>
      </c>
      <c r="F13" s="38">
        <f>IF($B26-9&gt;=IF(VLOOKUP($B14,'SCORES &amp; HANDICAP CALCULATOR'!$B$3:$E$67,3,FALSE)="F",F$24,F$23),2,IF($B26&gt;=IF(VLOOKUP($B14,'SCORES &amp; HANDICAP CALCULATOR'!$B$3:$E$67,3,FALSE)="F",F$24,F$23),1,0))</f>
        <v>0</v>
      </c>
      <c r="G13" s="38">
        <f>IF($B26-9&gt;=IF(VLOOKUP($B14,'SCORES &amp; HANDICAP CALCULATOR'!$B$3:$E$67,3,FALSE)="F",G$24,G$23),2,IF($B26&gt;=IF(VLOOKUP($B14,'SCORES &amp; HANDICAP CALCULATOR'!$B$3:$E$67,3,FALSE)="F",G$24,G$23),1,0))</f>
        <v>0</v>
      </c>
      <c r="H13" s="38">
        <f>IF($B26-9&gt;=IF(VLOOKUP($B14,'SCORES &amp; HANDICAP CALCULATOR'!$B$3:$E$67,3,FALSE)="F",H$24,H$23),2,IF($B26&gt;=IF(VLOOKUP($B14,'SCORES &amp; HANDICAP CALCULATOR'!$B$3:$E$67,3,FALSE)="F",H$24,H$23),1,0))</f>
        <v>0</v>
      </c>
      <c r="I13" s="38">
        <f>IF($B26-9&gt;=IF(VLOOKUP($B14,'SCORES &amp; HANDICAP CALCULATOR'!$B$3:$E$67,3,FALSE)="F",I$24,I$23),2,IF($B26&gt;=IF(VLOOKUP($B14,'SCORES &amp; HANDICAP CALCULATOR'!$B$3:$E$67,3,FALSE)="F",I$24,I$23),1,0))</f>
        <v>0</v>
      </c>
      <c r="J13" s="38">
        <f>IF($B26-9&gt;=IF(VLOOKUP($B14,'SCORES &amp; HANDICAP CALCULATOR'!$B$3:$E$67,3,FALSE)="F",J$24,J$23),2,IF($B26&gt;=IF(VLOOKUP($B14,'SCORES &amp; HANDICAP CALCULATOR'!$B$3:$E$67,3,FALSE)="F",J$24,J$23),1,0))</f>
        <v>0</v>
      </c>
      <c r="K13" s="38">
        <f>IF($B26-9&gt;=IF(VLOOKUP($B14,'SCORES &amp; HANDICAP CALCULATOR'!$B$3:$E$67,3,FALSE)="F",K$24,K$23),2,IF($B26&gt;=IF(VLOOKUP($B14,'SCORES &amp; HANDICAP CALCULATOR'!$B$3:$E$67,3,FALSE)="F",K$24,K$23),1,0))</f>
        <v>0</v>
      </c>
      <c r="L13" s="38">
        <f>IF($B26-9&gt;=IF(VLOOKUP($B14,'SCORES &amp; HANDICAP CALCULATOR'!$B$3:$E$67,3,FALSE)="F",L$24,L$23),2,IF($B26&gt;=IF(VLOOKUP($B14,'SCORES &amp; HANDICAP CALCULATOR'!$B$3:$E$67,3,FALSE)="F",L$24,L$23),1,0))</f>
        <v>0</v>
      </c>
      <c r="M13" s="38">
        <f>SUM(D13:L13)</f>
        <v>0</v>
      </c>
    </row>
    <row r="14" spans="1:13" ht="34.5" customHeight="1">
      <c r="A14" s="54">
        <f>VLOOKUP(B14,'SCORES &amp; HANDICAP CALCULATOR'!$B$3:$E$67,4,FALSE)</f>
        <v>7</v>
      </c>
      <c r="B14" s="54" t="str">
        <f>$N$12&amp;"B"</f>
        <v>1B</v>
      </c>
      <c r="C14" s="54" t="str">
        <f>VLOOKUP(B14,'SCORES &amp; HANDICAP CALCULATOR'!$B$3:$E$50,2,FALSE)</f>
        <v>Mike Dauphinais</v>
      </c>
      <c r="D14" s="29"/>
      <c r="E14" s="30"/>
      <c r="F14" s="30"/>
      <c r="G14" s="30"/>
      <c r="H14" s="30"/>
      <c r="I14" s="30"/>
      <c r="J14" s="30"/>
      <c r="K14" s="30"/>
      <c r="L14" s="30"/>
      <c r="M14" s="30"/>
    </row>
    <row r="15" spans="1:13" ht="21.75" customHeight="1">
      <c r="A15" s="31"/>
      <c r="B15" s="71"/>
      <c r="C15" s="217" t="s">
        <v>87</v>
      </c>
      <c r="D15" s="32"/>
      <c r="E15" s="32"/>
      <c r="F15" s="32"/>
      <c r="G15" s="32"/>
      <c r="H15" s="32"/>
      <c r="I15" s="32"/>
      <c r="J15" s="32"/>
      <c r="K15" s="32"/>
      <c r="L15" s="32"/>
      <c r="M15" s="61"/>
    </row>
    <row r="16" spans="1:13" ht="21.75" customHeight="1">
      <c r="A16" s="33"/>
      <c r="B16" s="72"/>
      <c r="C16" s="218"/>
      <c r="D16" s="32"/>
      <c r="E16" s="32"/>
      <c r="F16" s="32"/>
      <c r="G16" s="32"/>
      <c r="H16" s="32"/>
      <c r="I16" s="32"/>
      <c r="J16" s="32"/>
      <c r="K16" s="32"/>
      <c r="L16" s="32"/>
      <c r="M16" s="61"/>
    </row>
    <row r="17" spans="1:13" ht="12" customHeight="1">
      <c r="A17" s="27"/>
      <c r="B17" s="70"/>
      <c r="C17" s="27"/>
      <c r="D17" s="38">
        <f>IF($B28-9&gt;=IF(VLOOKUP($B18,'SCORES &amp; HANDICAP CALCULATOR'!$B$3:$E$67,3,FALSE)="F",D$24,D$23),2,IF($B28&gt;=IF(VLOOKUP($B18,'SCORES &amp; HANDICAP CALCULATOR'!$B$3:$E$67,3,FALSE)="F",D$24,D$23),1,0))</f>
        <v>1</v>
      </c>
      <c r="E17" s="38">
        <f>IF($B28-9&gt;=IF(VLOOKUP($B18,'SCORES &amp; HANDICAP CALCULATOR'!$B$3:$E$67,3,FALSE)="F",E$24,E$23),2,IF($B28&gt;=IF(VLOOKUP($B18,'SCORES &amp; HANDICAP CALCULATOR'!$B$3:$E$67,3,FALSE)="F",E$24,E$23),1,0))</f>
        <v>1</v>
      </c>
      <c r="F17" s="38">
        <f>IF($B28-9&gt;=IF(VLOOKUP($B18,'SCORES &amp; HANDICAP CALCULATOR'!$B$3:$E$67,3,FALSE)="F",F$24,F$23),2,IF($B28&gt;=IF(VLOOKUP($B18,'SCORES &amp; HANDICAP CALCULATOR'!$B$3:$E$67,3,FALSE)="F",F$24,F$23),1,0))</f>
        <v>1</v>
      </c>
      <c r="G17" s="38">
        <f>IF($B28-9&gt;=IF(VLOOKUP($B18,'SCORES &amp; HANDICAP CALCULATOR'!$B$3:$E$67,3,FALSE)="F",G$24,G$23),2,IF($B28&gt;=IF(VLOOKUP($B18,'SCORES &amp; HANDICAP CALCULATOR'!$B$3:$E$67,3,FALSE)="F",G$24,G$23),1,0))</f>
        <v>1</v>
      </c>
      <c r="H17" s="38">
        <f>IF($B28-9&gt;=IF(VLOOKUP($B18,'SCORES &amp; HANDICAP CALCULATOR'!$B$3:$E$67,3,FALSE)="F",H$24,H$23),2,IF($B28&gt;=IF(VLOOKUP($B18,'SCORES &amp; HANDICAP CALCULATOR'!$B$3:$E$67,3,FALSE)="F",H$24,H$23),1,0))</f>
        <v>1</v>
      </c>
      <c r="I17" s="38">
        <f>IF($B28-9&gt;=IF(VLOOKUP($B18,'SCORES &amp; HANDICAP CALCULATOR'!$B$3:$E$67,3,FALSE)="F",I$24,I$23),2,IF($B28&gt;=IF(VLOOKUP($B18,'SCORES &amp; HANDICAP CALCULATOR'!$B$3:$E$67,3,FALSE)="F",I$24,I$23),1,0))</f>
        <v>1</v>
      </c>
      <c r="J17" s="38">
        <f>IF($B28-9&gt;=IF(VLOOKUP($B18,'SCORES &amp; HANDICAP CALCULATOR'!$B$3:$E$67,3,FALSE)="F",J$24,J$23),2,IF($B28&gt;=IF(VLOOKUP($B18,'SCORES &amp; HANDICAP CALCULATOR'!$B$3:$E$67,3,FALSE)="F",J$24,J$23),1,0))</f>
        <v>1</v>
      </c>
      <c r="K17" s="38">
        <f>IF($B28-9&gt;=IF(VLOOKUP($B18,'SCORES &amp; HANDICAP CALCULATOR'!$B$3:$E$67,3,FALSE)="F",K$24,K$23),2,IF($B28&gt;=IF(VLOOKUP($B18,'SCORES &amp; HANDICAP CALCULATOR'!$B$3:$E$67,3,FALSE)="F",K$24,K$23),1,0))</f>
        <v>1</v>
      </c>
      <c r="L17" s="38">
        <f>IF($B28-9&gt;=IF(VLOOKUP($B18,'SCORES &amp; HANDICAP CALCULATOR'!$B$3:$E$67,3,FALSE)="F",L$24,L$23),2,IF($B28&gt;=IF(VLOOKUP($B18,'SCORES &amp; HANDICAP CALCULATOR'!$B$3:$E$67,3,FALSE)="F",L$24,L$23),1,0))</f>
        <v>1</v>
      </c>
      <c r="M17" s="38">
        <f>SUM(D17:L17)</f>
        <v>9</v>
      </c>
    </row>
    <row r="18" spans="1:14" ht="34.5" customHeight="1">
      <c r="A18" s="54">
        <f>VLOOKUP(B18,'SCORES &amp; HANDICAP CALCULATOR'!$B$3:$E$67,4,FALSE)</f>
        <v>16</v>
      </c>
      <c r="B18" s="54" t="str">
        <f>$N$18&amp;"A"</f>
        <v>11A</v>
      </c>
      <c r="C18" s="54" t="str">
        <f>VLOOKUP(B18,'SCORES &amp; HANDICAP CALCULATOR'!$B$3:$E$50,2,FALSE)</f>
        <v>Walter Drake</v>
      </c>
      <c r="D18" s="29"/>
      <c r="E18" s="30"/>
      <c r="F18" s="30"/>
      <c r="G18" s="30"/>
      <c r="H18" s="30"/>
      <c r="I18" s="30"/>
      <c r="J18" s="30"/>
      <c r="K18" s="30"/>
      <c r="L18" s="30"/>
      <c r="M18" s="30"/>
      <c r="N18" s="9" t="str">
        <f>RIGHT(SUBSTITUTE(N10," v ",","),LEN(SUBSTITUTE(N10," v ",","))-FIND(",",SUBSTITUTE(N10," v ",",")))</f>
        <v>11</v>
      </c>
    </row>
    <row r="19" spans="1:13" ht="12" customHeight="1">
      <c r="A19" s="27"/>
      <c r="B19" s="70"/>
      <c r="C19" s="27"/>
      <c r="D19" s="38">
        <f>IF($B29-9&gt;=IF(VLOOKUP($B20,'SCORES &amp; HANDICAP CALCULATOR'!$B$3:$E$67,3,FALSE)="F",D$24,D$23),2,IF($B29&gt;=IF(VLOOKUP($B20,'SCORES &amp; HANDICAP CALCULATOR'!$B$3:$E$67,3,FALSE)="F",D$24,D$23),1,0))</f>
        <v>1</v>
      </c>
      <c r="E19" s="38">
        <f>IF($B29-9&gt;=IF(VLOOKUP($B20,'SCORES &amp; HANDICAP CALCULATOR'!$B$3:$E$67,3,FALSE)="F",E$24,E$23),2,IF($B29&gt;=IF(VLOOKUP($B20,'SCORES &amp; HANDICAP CALCULATOR'!$B$3:$E$67,3,FALSE)="F",E$24,E$23),1,0))</f>
        <v>0</v>
      </c>
      <c r="F19" s="38">
        <f>IF($B29-9&gt;=IF(VLOOKUP($B20,'SCORES &amp; HANDICAP CALCULATOR'!$B$3:$E$67,3,FALSE)="F",F$24,F$23),2,IF($B29&gt;=IF(VLOOKUP($B20,'SCORES &amp; HANDICAP CALCULATOR'!$B$3:$E$67,3,FALSE)="F",F$24,F$23),1,0))</f>
        <v>1</v>
      </c>
      <c r="G19" s="38">
        <f>IF($B29-9&gt;=IF(VLOOKUP($B20,'SCORES &amp; HANDICAP CALCULATOR'!$B$3:$E$67,3,FALSE)="F",G$24,G$23),2,IF($B29&gt;=IF(VLOOKUP($B20,'SCORES &amp; HANDICAP CALCULATOR'!$B$3:$E$67,3,FALSE)="F",G$24,G$23),1,0))</f>
        <v>0</v>
      </c>
      <c r="H19" s="38">
        <f>IF($B29-9&gt;=IF(VLOOKUP($B20,'SCORES &amp; HANDICAP CALCULATOR'!$B$3:$E$67,3,FALSE)="F",H$24,H$23),2,IF($B29&gt;=IF(VLOOKUP($B20,'SCORES &amp; HANDICAP CALCULATOR'!$B$3:$E$67,3,FALSE)="F",H$24,H$23),1,0))</f>
        <v>0</v>
      </c>
      <c r="I19" s="38">
        <f>IF($B29-9&gt;=IF(VLOOKUP($B20,'SCORES &amp; HANDICAP CALCULATOR'!$B$3:$E$67,3,FALSE)="F",I$24,I$23),2,IF($B29&gt;=IF(VLOOKUP($B20,'SCORES &amp; HANDICAP CALCULATOR'!$B$3:$E$67,3,FALSE)="F",I$24,I$23),1,0))</f>
        <v>0</v>
      </c>
      <c r="J19" s="38">
        <f>IF($B29-9&gt;=IF(VLOOKUP($B20,'SCORES &amp; HANDICAP CALCULATOR'!$B$3:$E$67,3,FALSE)="F",J$24,J$23),2,IF($B29&gt;=IF(VLOOKUP($B20,'SCORES &amp; HANDICAP CALCULATOR'!$B$3:$E$67,3,FALSE)="F",J$24,J$23),1,0))</f>
        <v>1</v>
      </c>
      <c r="K19" s="38">
        <f>IF($B29-9&gt;=IF(VLOOKUP($B20,'SCORES &amp; HANDICAP CALCULATOR'!$B$3:$E$67,3,FALSE)="F",K$24,K$23),2,IF($B29&gt;=IF(VLOOKUP($B20,'SCORES &amp; HANDICAP CALCULATOR'!$B$3:$E$67,3,FALSE)="F",K$24,K$23),1,0))</f>
        <v>0</v>
      </c>
      <c r="L19" s="38">
        <f>IF($B29-9&gt;=IF(VLOOKUP($B20,'SCORES &amp; HANDICAP CALCULATOR'!$B$3:$E$67,3,FALSE)="F",L$24,L$23),2,IF($B29&gt;=IF(VLOOKUP($B20,'SCORES &amp; HANDICAP CALCULATOR'!$B$3:$E$67,3,FALSE)="F",L$24,L$23),1,0))</f>
        <v>0</v>
      </c>
      <c r="M19" s="38">
        <f>SUM(D19:L19)</f>
        <v>3</v>
      </c>
    </row>
    <row r="20" spans="1:13" ht="34.5" customHeight="1">
      <c r="A20" s="54">
        <f>VLOOKUP(B20,'SCORES &amp; HANDICAP CALCULATOR'!$B$3:$E$67,4,FALSE)</f>
        <v>10</v>
      </c>
      <c r="B20" s="54" t="str">
        <f>$N$18&amp;"B"</f>
        <v>11B</v>
      </c>
      <c r="C20" s="54" t="str">
        <f>VLOOKUP(B20,'SCORES &amp; HANDICAP CALCULATOR'!$B$3:$E$50,2,FALSE)</f>
        <v>John Cassin</v>
      </c>
      <c r="D20" s="29"/>
      <c r="E20" s="30"/>
      <c r="F20" s="30"/>
      <c r="G20" s="30"/>
      <c r="H20" s="30"/>
      <c r="I20" s="30"/>
      <c r="J20" s="30"/>
      <c r="K20" s="30"/>
      <c r="L20" s="30"/>
      <c r="M20" s="30"/>
    </row>
    <row r="21" spans="1:13" ht="21.75" customHeight="1">
      <c r="A21" s="34"/>
      <c r="B21" s="34"/>
      <c r="C21" s="34"/>
      <c r="D21" s="35"/>
      <c r="E21" s="35"/>
      <c r="F21" s="35"/>
      <c r="G21" s="35"/>
      <c r="H21" s="35"/>
      <c r="I21" s="35"/>
      <c r="J21" s="35"/>
      <c r="K21" s="35"/>
      <c r="L21" s="35"/>
      <c r="M21" s="36"/>
    </row>
    <row r="22" spans="1:13" ht="21.75" customHeight="1">
      <c r="A22" s="214" t="str">
        <f>CONCATENATE("TEE TIME: ",TEXT(N9,"h:mm")," PM")</f>
        <v>TEE TIME: 4:30 PM</v>
      </c>
      <c r="B22" s="215"/>
      <c r="C22" s="215"/>
      <c r="D22" s="215"/>
      <c r="E22" s="215"/>
      <c r="F22" s="215"/>
      <c r="G22" s="215"/>
      <c r="H22" s="215"/>
      <c r="I22" s="215"/>
      <c r="J22" s="215"/>
      <c r="K22" s="215"/>
      <c r="L22" s="215"/>
      <c r="M22" s="215"/>
    </row>
    <row r="23" spans="1:13" ht="18" hidden="1">
      <c r="A23" s="121"/>
      <c r="B23" s="121"/>
      <c r="C23" s="122" t="s">
        <v>88</v>
      </c>
      <c r="D23" s="121">
        <f>RANK(D7,$D$7:$L$7,1)</f>
        <v>3</v>
      </c>
      <c r="E23" s="121">
        <f aca="true" t="shared" si="0" ref="E23:L23">RANK(E7,$D$7:$L$7,1)</f>
        <v>4</v>
      </c>
      <c r="F23" s="121">
        <f t="shared" si="0"/>
        <v>2</v>
      </c>
      <c r="G23" s="121">
        <f t="shared" si="0"/>
        <v>5</v>
      </c>
      <c r="H23" s="121">
        <f t="shared" si="0"/>
        <v>6</v>
      </c>
      <c r="I23" s="121">
        <f t="shared" si="0"/>
        <v>9</v>
      </c>
      <c r="J23" s="121">
        <f t="shared" si="0"/>
        <v>1</v>
      </c>
      <c r="K23" s="121">
        <f t="shared" si="0"/>
        <v>8</v>
      </c>
      <c r="L23" s="121">
        <f t="shared" si="0"/>
        <v>7</v>
      </c>
      <c r="M23" s="37"/>
    </row>
    <row r="24" spans="1:13" ht="18" hidden="1">
      <c r="A24" s="121"/>
      <c r="B24" s="121"/>
      <c r="C24" s="122" t="s">
        <v>89</v>
      </c>
      <c r="D24" s="121">
        <f>RANK(D10,$D$10:$L$10,1)</f>
        <v>3</v>
      </c>
      <c r="E24" s="121">
        <f aca="true" t="shared" si="1" ref="E24:L24">RANK(E10,$D$10:$L$10,1)</f>
        <v>4</v>
      </c>
      <c r="F24" s="121">
        <f t="shared" si="1"/>
        <v>2</v>
      </c>
      <c r="G24" s="121">
        <f t="shared" si="1"/>
        <v>5</v>
      </c>
      <c r="H24" s="121">
        <f t="shared" si="1"/>
        <v>6</v>
      </c>
      <c r="I24" s="121">
        <f t="shared" si="1"/>
        <v>9</v>
      </c>
      <c r="J24" s="121">
        <f t="shared" si="1"/>
        <v>1</v>
      </c>
      <c r="K24" s="121">
        <f t="shared" si="1"/>
        <v>8</v>
      </c>
      <c r="L24" s="121">
        <f t="shared" si="1"/>
        <v>7</v>
      </c>
      <c r="M24" s="28"/>
    </row>
    <row r="25" spans="1:13" ht="18" hidden="1">
      <c r="A25" s="121">
        <f>MIN(A12:A20)</f>
        <v>7</v>
      </c>
      <c r="B25" s="121">
        <f>A12-$A$25</f>
        <v>0</v>
      </c>
      <c r="C25" s="121"/>
      <c r="D25" s="121"/>
      <c r="E25" s="121"/>
      <c r="F25" s="121"/>
      <c r="G25" s="121"/>
      <c r="H25" s="121"/>
      <c r="I25" s="121"/>
      <c r="J25" s="121"/>
      <c r="K25" s="121"/>
      <c r="L25" s="121"/>
      <c r="M25" s="28"/>
    </row>
    <row r="26" spans="1:13" ht="18" hidden="1">
      <c r="A26" s="121"/>
      <c r="B26" s="121">
        <f>A14-$A$25</f>
        <v>0</v>
      </c>
      <c r="C26" s="121"/>
      <c r="D26" s="121"/>
      <c r="E26" s="121"/>
      <c r="F26" s="121"/>
      <c r="G26" s="121"/>
      <c r="H26" s="121"/>
      <c r="I26" s="121"/>
      <c r="J26" s="121"/>
      <c r="K26" s="121"/>
      <c r="L26" s="121"/>
      <c r="M26" s="28"/>
    </row>
    <row r="27" spans="1:13" ht="18" hidden="1">
      <c r="A27" s="121"/>
      <c r="B27" s="121"/>
      <c r="C27" s="121"/>
      <c r="D27" s="121"/>
      <c r="E27" s="121"/>
      <c r="F27" s="121"/>
      <c r="G27" s="121"/>
      <c r="H27" s="121"/>
      <c r="I27" s="121"/>
      <c r="J27" s="121"/>
      <c r="K27" s="121"/>
      <c r="L27" s="121"/>
      <c r="M27" s="28"/>
    </row>
    <row r="28" spans="1:13" ht="18" hidden="1">
      <c r="A28" s="121"/>
      <c r="B28" s="121">
        <f>A18-$A$25</f>
        <v>9</v>
      </c>
      <c r="C28" s="121"/>
      <c r="D28" s="121"/>
      <c r="E28" s="121"/>
      <c r="F28" s="121"/>
      <c r="G28" s="121"/>
      <c r="H28" s="121"/>
      <c r="I28" s="121"/>
      <c r="J28" s="121"/>
      <c r="K28" s="121"/>
      <c r="L28" s="121"/>
      <c r="M28" s="28"/>
    </row>
    <row r="29" spans="1:13" ht="18" hidden="1">
      <c r="A29" s="121"/>
      <c r="B29" s="121">
        <f>A20-$A$25</f>
        <v>3</v>
      </c>
      <c r="C29" s="121"/>
      <c r="D29" s="121"/>
      <c r="E29" s="121"/>
      <c r="F29" s="121"/>
      <c r="G29" s="121"/>
      <c r="H29" s="121"/>
      <c r="I29" s="121"/>
      <c r="J29" s="121"/>
      <c r="K29" s="121"/>
      <c r="L29" s="121"/>
      <c r="M29" s="28"/>
    </row>
    <row r="30" spans="1:13" ht="21.75" customHeight="1">
      <c r="A30" s="28"/>
      <c r="B30" s="28"/>
      <c r="C30" s="28"/>
      <c r="D30" s="28"/>
      <c r="E30" s="28"/>
      <c r="F30" s="28"/>
      <c r="G30" s="28"/>
      <c r="H30" s="28"/>
      <c r="I30" s="28"/>
      <c r="J30" s="28"/>
      <c r="K30" s="28"/>
      <c r="L30" s="28"/>
      <c r="M30" s="28"/>
    </row>
    <row r="31" spans="1:13" ht="21.75" customHeight="1">
      <c r="A31" s="28"/>
      <c r="B31" s="28"/>
      <c r="C31" s="28"/>
      <c r="D31" s="28"/>
      <c r="E31" s="28"/>
      <c r="F31" s="28"/>
      <c r="G31" s="28"/>
      <c r="H31" s="28"/>
      <c r="I31" s="28"/>
      <c r="J31" s="28"/>
      <c r="K31" s="28"/>
      <c r="L31" s="28"/>
      <c r="M31" s="28"/>
    </row>
    <row r="32" spans="1:13" ht="21.75" customHeight="1">
      <c r="A32" s="212" t="s">
        <v>237</v>
      </c>
      <c r="B32" s="210"/>
      <c r="C32" s="210"/>
      <c r="D32" s="210"/>
      <c r="E32" s="210"/>
      <c r="F32" s="211"/>
      <c r="G32" s="59"/>
      <c r="H32" s="28"/>
      <c r="I32" s="28"/>
      <c r="J32" s="28"/>
      <c r="K32" s="28"/>
      <c r="L32" s="28"/>
      <c r="M32" s="28"/>
    </row>
    <row r="33" spans="1:13" ht="21.75" customHeight="1">
      <c r="A33" s="28"/>
      <c r="B33" s="28"/>
      <c r="C33" s="28"/>
      <c r="D33" s="28"/>
      <c r="E33" s="28"/>
      <c r="F33" s="28"/>
      <c r="G33" s="28"/>
      <c r="H33" s="28"/>
      <c r="I33" s="28"/>
      <c r="J33" s="28"/>
      <c r="K33" s="28"/>
      <c r="L33" s="28"/>
      <c r="M33" s="28"/>
    </row>
    <row r="34" spans="1:13" ht="21.75" customHeight="1">
      <c r="A34" s="125" t="s">
        <v>86</v>
      </c>
      <c r="B34" s="209" t="s">
        <v>61</v>
      </c>
      <c r="C34" s="210"/>
      <c r="D34" s="210"/>
      <c r="E34" s="211"/>
      <c r="F34" s="128" t="s">
        <v>62</v>
      </c>
      <c r="G34" s="28"/>
      <c r="H34" s="28"/>
      <c r="I34" s="28"/>
      <c r="J34" s="28"/>
      <c r="K34" s="28"/>
      <c r="L34" s="28"/>
      <c r="M34" s="28"/>
    </row>
    <row r="35" spans="1:13" ht="21.75" customHeight="1">
      <c r="A35" s="129">
        <f>'SCHEDULE &amp; POINTS'!B54</f>
        <v>1</v>
      </c>
      <c r="B35" s="130" t="str">
        <f>'SCHEDULE &amp; POINTS'!C54</f>
        <v>09  Doug Cormier/Joe Pearson</v>
      </c>
      <c r="C35" s="126"/>
      <c r="D35" s="126"/>
      <c r="E35" s="127"/>
      <c r="F35" s="131">
        <f>'SCHEDULE &amp; POINTS'!H54</f>
        <v>35</v>
      </c>
      <c r="G35" s="52">
        <v>1</v>
      </c>
      <c r="H35" s="9"/>
      <c r="I35" s="28"/>
      <c r="J35" s="28"/>
      <c r="K35" s="28"/>
      <c r="L35" s="28"/>
      <c r="M35" s="28"/>
    </row>
    <row r="36" spans="1:13" ht="21.75" customHeight="1">
      <c r="A36" s="129">
        <f>'SCHEDULE &amp; POINTS'!B55</f>
        <v>2</v>
      </c>
      <c r="B36" s="130" t="str">
        <f>'SCHEDULE &amp; POINTS'!C55</f>
        <v>01  Gary Bittner/Mike Dauphinais</v>
      </c>
      <c r="C36" s="126"/>
      <c r="D36" s="126"/>
      <c r="E36" s="127"/>
      <c r="F36" s="131">
        <f>'SCHEDULE &amp; POINTS'!H55</f>
        <v>32</v>
      </c>
      <c r="G36" s="52">
        <v>2</v>
      </c>
      <c r="H36" s="9"/>
      <c r="I36" s="28"/>
      <c r="J36" s="28"/>
      <c r="K36" s="28"/>
      <c r="L36" s="28"/>
      <c r="M36" s="28"/>
    </row>
    <row r="37" spans="1:13" ht="21.75" customHeight="1">
      <c r="A37" s="129">
        <f>'SCHEDULE &amp; POINTS'!B56</f>
        <v>3</v>
      </c>
      <c r="B37" s="130" t="str">
        <f>'SCHEDULE &amp; POINTS'!C56</f>
        <v>11  Walter Drake/John Cassin</v>
      </c>
      <c r="C37" s="126"/>
      <c r="D37" s="126"/>
      <c r="E37" s="127"/>
      <c r="F37" s="131">
        <f>'SCHEDULE &amp; POINTS'!H56</f>
        <v>29</v>
      </c>
      <c r="G37" s="52">
        <v>3</v>
      </c>
      <c r="H37" s="9"/>
      <c r="I37" s="28"/>
      <c r="J37" s="28"/>
      <c r="K37" s="28"/>
      <c r="L37" s="28"/>
      <c r="M37" s="28"/>
    </row>
    <row r="38" spans="1:13" ht="21.75" customHeight="1">
      <c r="A38" s="129" t="str">
        <f>'SCHEDULE &amp; POINTS'!B57</f>
        <v>4T</v>
      </c>
      <c r="B38" s="130" t="str">
        <f>'SCHEDULE &amp; POINTS'!C57</f>
        <v>02  Lester Lockhart/Pete Normandin</v>
      </c>
      <c r="C38" s="126"/>
      <c r="D38" s="126"/>
      <c r="E38" s="127"/>
      <c r="F38" s="131">
        <f>'SCHEDULE &amp; POINTS'!H57</f>
        <v>28.5</v>
      </c>
      <c r="G38" s="52">
        <v>4</v>
      </c>
      <c r="H38" s="9"/>
      <c r="I38" s="28"/>
      <c r="J38" s="28"/>
      <c r="K38" s="28"/>
      <c r="L38" s="28"/>
      <c r="M38" s="28"/>
    </row>
    <row r="39" spans="1:13" ht="21.75" customHeight="1">
      <c r="A39" s="129" t="str">
        <f>'SCHEDULE &amp; POINTS'!B58</f>
        <v>4T</v>
      </c>
      <c r="B39" s="130" t="str">
        <f>'SCHEDULE &amp; POINTS'!C58</f>
        <v>03  Ralph Romano/Mike Romano</v>
      </c>
      <c r="C39" s="126"/>
      <c r="D39" s="126"/>
      <c r="E39" s="127"/>
      <c r="F39" s="131">
        <f>'SCHEDULE &amp; POINTS'!H58</f>
        <v>28.5</v>
      </c>
      <c r="G39" s="52">
        <v>5</v>
      </c>
      <c r="H39" s="9"/>
      <c r="I39" s="28"/>
      <c r="J39" s="28"/>
      <c r="K39" s="28"/>
      <c r="L39" s="28"/>
      <c r="M39" s="28"/>
    </row>
    <row r="40" spans="1:13" ht="21.75" customHeight="1">
      <c r="A40" s="129">
        <f>'SCHEDULE &amp; POINTS'!B59</f>
        <v>6</v>
      </c>
      <c r="B40" s="130" t="str">
        <f>'SCHEDULE &amp; POINTS'!C59</f>
        <v>06  Dennis Normandin/Marc Normandin</v>
      </c>
      <c r="C40" s="126"/>
      <c r="D40" s="126"/>
      <c r="E40" s="127"/>
      <c r="F40" s="131">
        <f>'SCHEDULE &amp; POINTS'!H59</f>
        <v>28</v>
      </c>
      <c r="G40" s="52">
        <v>6</v>
      </c>
      <c r="H40" s="9"/>
      <c r="I40" s="28"/>
      <c r="J40" s="28"/>
      <c r="K40" s="28"/>
      <c r="L40" s="28"/>
      <c r="M40" s="28"/>
    </row>
    <row r="41" spans="1:13" ht="21.75" customHeight="1">
      <c r="A41" s="129">
        <f>'SCHEDULE &amp; POINTS'!B60</f>
        <v>7</v>
      </c>
      <c r="B41" s="130" t="str">
        <f>'SCHEDULE &amp; POINTS'!C60</f>
        <v>05  Gary Leavenworth/Patty Leavenworth</v>
      </c>
      <c r="C41" s="126"/>
      <c r="D41" s="126"/>
      <c r="E41" s="127"/>
      <c r="F41" s="131">
        <f>'SCHEDULE &amp; POINTS'!H60</f>
        <v>27</v>
      </c>
      <c r="G41" s="52">
        <v>7</v>
      </c>
      <c r="H41" s="9"/>
      <c r="I41" s="28"/>
      <c r="J41" s="28"/>
      <c r="K41" s="28"/>
      <c r="L41" s="28"/>
      <c r="M41" s="28"/>
    </row>
    <row r="42" spans="1:13" ht="21.75" customHeight="1">
      <c r="A42" s="129">
        <f>'SCHEDULE &amp; POINTS'!B61</f>
        <v>8</v>
      </c>
      <c r="B42" s="130" t="str">
        <f>'SCHEDULE &amp; POINTS'!C61</f>
        <v>04  Peg Romano/Lynn Laroche</v>
      </c>
      <c r="C42" s="126"/>
      <c r="D42" s="126"/>
      <c r="E42" s="127"/>
      <c r="F42" s="131">
        <f>'SCHEDULE &amp; POINTS'!H61</f>
        <v>26</v>
      </c>
      <c r="G42" s="52">
        <v>8</v>
      </c>
      <c r="H42" s="9"/>
      <c r="I42" s="28"/>
      <c r="J42" s="28"/>
      <c r="K42" s="28"/>
      <c r="L42" s="28"/>
      <c r="M42" s="28"/>
    </row>
    <row r="43" spans="1:13" ht="21.75" customHeight="1">
      <c r="A43" s="129">
        <f>'SCHEDULE &amp; POINTS'!B62</f>
        <v>9</v>
      </c>
      <c r="B43" s="130" t="str">
        <f>'SCHEDULE &amp; POINTS'!C62</f>
        <v>08  Paul Fontaine/Yogi DiPasquale</v>
      </c>
      <c r="C43" s="126"/>
      <c r="D43" s="126"/>
      <c r="E43" s="127"/>
      <c r="F43" s="131">
        <f>'SCHEDULE &amp; POINTS'!H62</f>
        <v>25.5</v>
      </c>
      <c r="G43" s="52">
        <v>9</v>
      </c>
      <c r="H43" s="9"/>
      <c r="I43" s="57"/>
      <c r="J43" s="28"/>
      <c r="K43" s="28"/>
      <c r="L43" s="28"/>
      <c r="M43" s="28"/>
    </row>
    <row r="44" spans="1:13" ht="21.75" customHeight="1">
      <c r="A44" s="129">
        <f>'SCHEDULE &amp; POINTS'!B63</f>
        <v>10</v>
      </c>
      <c r="B44" s="130" t="str">
        <f>'SCHEDULE &amp; POINTS'!C63</f>
        <v>07  Pete Romano/Ralph Romano</v>
      </c>
      <c r="C44" s="126"/>
      <c r="D44" s="126"/>
      <c r="E44" s="127"/>
      <c r="F44" s="131">
        <f>'SCHEDULE &amp; POINTS'!H63</f>
        <v>25</v>
      </c>
      <c r="G44" s="52">
        <v>10</v>
      </c>
      <c r="H44" s="9"/>
      <c r="I44" s="28"/>
      <c r="J44" s="28"/>
      <c r="K44" s="28"/>
      <c r="L44" s="28"/>
      <c r="M44" s="28"/>
    </row>
    <row r="45" spans="1:13" ht="21.75" customHeight="1">
      <c r="A45" s="129">
        <f>'SCHEDULE &amp; POINTS'!B64</f>
        <v>11</v>
      </c>
      <c r="B45" s="130" t="str">
        <f>'SCHEDULE &amp; POINTS'!C64</f>
        <v>10  Dave Cormier/Norman Boisvert</v>
      </c>
      <c r="C45" s="126"/>
      <c r="D45" s="126"/>
      <c r="E45" s="127"/>
      <c r="F45" s="131">
        <f>'SCHEDULE &amp; POINTS'!H64</f>
        <v>20.5</v>
      </c>
      <c r="G45" s="52">
        <v>11</v>
      </c>
      <c r="H45" s="9"/>
      <c r="I45" s="28"/>
      <c r="J45" s="28"/>
      <c r="K45" s="28"/>
      <c r="L45" s="28"/>
      <c r="M45" s="28"/>
    </row>
    <row r="46" spans="1:13" ht="21.75" customHeight="1">
      <c r="A46" s="129">
        <f>'SCHEDULE &amp; POINTS'!B65</f>
        <v>12</v>
      </c>
      <c r="B46" s="130" t="str">
        <f>'SCHEDULE &amp; POINTS'!C65</f>
        <v>12  Mike Marlborough/Rich Wilson</v>
      </c>
      <c r="C46" s="126"/>
      <c r="D46" s="126"/>
      <c r="E46" s="127"/>
      <c r="F46" s="131">
        <f>'SCHEDULE &amp; POINTS'!H65</f>
        <v>18.5</v>
      </c>
      <c r="G46" s="52">
        <v>12</v>
      </c>
      <c r="H46" s="9"/>
      <c r="I46" s="28"/>
      <c r="J46" s="28"/>
      <c r="K46" s="28"/>
      <c r="L46" s="28"/>
      <c r="M46" s="28"/>
    </row>
    <row r="47" spans="1:13" ht="21.75" customHeight="1">
      <c r="A47" s="153"/>
      <c r="B47" s="154"/>
      <c r="C47" s="147"/>
      <c r="D47" s="147"/>
      <c r="E47" s="147"/>
      <c r="F47" s="155"/>
      <c r="G47" s="156"/>
      <c r="H47" s="9"/>
      <c r="I47" s="28"/>
      <c r="J47" s="28"/>
      <c r="K47" s="28"/>
      <c r="L47" s="28"/>
      <c r="M47" s="28"/>
    </row>
    <row r="48" spans="1:13" ht="21.75" customHeight="1">
      <c r="A48" s="153"/>
      <c r="B48" s="154"/>
      <c r="C48" s="147"/>
      <c r="D48" s="147"/>
      <c r="E48" s="147"/>
      <c r="F48" s="155"/>
      <c r="G48" s="156"/>
      <c r="H48" s="9"/>
      <c r="I48" s="28"/>
      <c r="J48" s="28"/>
      <c r="K48" s="28"/>
      <c r="L48" s="28"/>
      <c r="M48" s="28"/>
    </row>
    <row r="49" spans="10:13" ht="21.75" customHeight="1">
      <c r="J49" s="28"/>
      <c r="K49" s="28"/>
      <c r="L49" s="28"/>
      <c r="M49" s="28"/>
    </row>
    <row r="50" spans="10:13" ht="21.75" customHeight="1">
      <c r="J50" s="28"/>
      <c r="K50" s="28"/>
      <c r="L50" s="28"/>
      <c r="M50" s="28"/>
    </row>
    <row r="51" spans="1:14" s="132" customFormat="1" ht="21.75" customHeight="1">
      <c r="A51" s="230" t="s">
        <v>9</v>
      </c>
      <c r="B51" s="231"/>
      <c r="C51" s="231"/>
      <c r="D51" s="231"/>
      <c r="E51" s="231"/>
      <c r="F51" s="231"/>
      <c r="G51" s="231"/>
      <c r="H51" s="231"/>
      <c r="I51" s="231"/>
      <c r="J51" s="231"/>
      <c r="K51" s="231"/>
      <c r="L51" s="231"/>
      <c r="M51" s="232"/>
      <c r="N51" s="134"/>
    </row>
    <row r="52" spans="1:14" s="132" customFormat="1" ht="21.75" customHeight="1">
      <c r="A52" s="202" t="str">
        <f>"Romano Golf League - "&amp;N56&amp;" - "&amp;N58&amp;" - "&amp;TEXT(N57,"MMM dd, yyyy")</f>
        <v>Romano Golf League - Week 3 - FRONT - Jul 05, 2006</v>
      </c>
      <c r="B52" s="203"/>
      <c r="C52" s="203"/>
      <c r="D52" s="203"/>
      <c r="E52" s="203"/>
      <c r="F52" s="203"/>
      <c r="G52" s="203"/>
      <c r="H52" s="203"/>
      <c r="I52" s="203"/>
      <c r="J52" s="203"/>
      <c r="K52" s="203"/>
      <c r="L52" s="203"/>
      <c r="M52" s="204"/>
      <c r="N52" s="134"/>
    </row>
    <row r="53" spans="1:14" s="132" customFormat="1" ht="21.75" customHeight="1">
      <c r="A53" s="205"/>
      <c r="B53" s="205"/>
      <c r="C53" s="205"/>
      <c r="D53" s="205"/>
      <c r="E53" s="205"/>
      <c r="F53" s="205"/>
      <c r="G53" s="205"/>
      <c r="H53" s="205"/>
      <c r="I53" s="205"/>
      <c r="J53" s="205"/>
      <c r="K53" s="205"/>
      <c r="L53" s="205"/>
      <c r="M53" s="205"/>
      <c r="N53" s="134"/>
    </row>
    <row r="54" spans="1:14" s="132" customFormat="1" ht="21.75" customHeight="1">
      <c r="A54" s="228" t="s">
        <v>10</v>
      </c>
      <c r="B54" s="228"/>
      <c r="C54" s="228"/>
      <c r="D54" s="77">
        <f>IF(LEFT($N$8)="F",1,IF(LEFT($N$8)="B",10,"ERROR"))</f>
        <v>1</v>
      </c>
      <c r="E54" s="77">
        <f>IF(LEFT($N$8)="F",2,IF(LEFT($N$8)="B",11,"ERROR"))</f>
        <v>2</v>
      </c>
      <c r="F54" s="77">
        <f>IF(LEFT($N$8)="F",3,IF(LEFT($N$8)="B",12,"ERROR"))</f>
        <v>3</v>
      </c>
      <c r="G54" s="77">
        <f>IF(LEFT($N$8)="F",4,IF(LEFT($N$8)="B",13,"ERROR"))</f>
        <v>4</v>
      </c>
      <c r="H54" s="77">
        <f>IF(LEFT($N$8)="F",5,IF(LEFT($N$8)="B",14,"ERROR"))</f>
        <v>5</v>
      </c>
      <c r="I54" s="77">
        <f>IF(LEFT($N$8)="F",6,IF(LEFT($N$8)="B",15,"ERROR"))</f>
        <v>6</v>
      </c>
      <c r="J54" s="77">
        <f>IF(LEFT($N$8)="F",7,IF(LEFT($N$8)="B",16,"ERROR"))</f>
        <v>7</v>
      </c>
      <c r="K54" s="77">
        <f>IF(LEFT($N$8)="F",8,IF(LEFT($N$8)="B",17,"ERROR"))</f>
        <v>8</v>
      </c>
      <c r="L54" s="77">
        <f>IF(LEFT($N$8)="F",9,IF(LEFT($N$8)="B",18,"ERROR"))</f>
        <v>9</v>
      </c>
      <c r="M54" s="77" t="str">
        <f>IF(LEFT($N$8)="F","OUT",IF(LEFT($N$8)="B","IN","ERROR"))</f>
        <v>OUT</v>
      </c>
      <c r="N54" s="134"/>
    </row>
    <row r="55" spans="1:14" s="132" customFormat="1" ht="21.75" customHeight="1">
      <c r="A55" s="229" t="s">
        <v>11</v>
      </c>
      <c r="B55" s="229"/>
      <c r="C55" s="229"/>
      <c r="D55" s="78">
        <f>IF(D54=1,460,IF(D54=10,345,"ERROR"))</f>
        <v>460</v>
      </c>
      <c r="E55" s="78">
        <f>IF(E54=2,275,IF(E54=11,220,"ERROR"))</f>
        <v>275</v>
      </c>
      <c r="F55" s="78">
        <f>IF(F54=3,525,IF(F54=12,330,"ERROR"))</f>
        <v>525</v>
      </c>
      <c r="G55" s="78">
        <f>IF(G54=4,295,IF(G54=13,435,"ERROR"))</f>
        <v>295</v>
      </c>
      <c r="H55" s="78">
        <f>IF(H54=5,345,IF(H54=14,145,"ERROR"))</f>
        <v>345</v>
      </c>
      <c r="I55" s="78">
        <f>IF(I54=6,175,IF(I54=15,315,"ERROR"))</f>
        <v>175</v>
      </c>
      <c r="J55" s="78">
        <f>IF(J54=7,405,IF(J54=16,130,"ERROR"))</f>
        <v>405</v>
      </c>
      <c r="K55" s="78">
        <f>IF(K54=8,145,IF(K54=17,300,"ERROR"))</f>
        <v>145</v>
      </c>
      <c r="L55" s="78">
        <f>IF(L54=9,320,IF(L54=18,340,"ERROR"))</f>
        <v>320</v>
      </c>
      <c r="M55" s="78">
        <f>SUM(D55:L55)</f>
        <v>2945</v>
      </c>
      <c r="N55" s="134"/>
    </row>
    <row r="56" spans="1:14" s="132" customFormat="1" ht="21.75" customHeight="1">
      <c r="A56" s="216" t="s">
        <v>17</v>
      </c>
      <c r="B56" s="216"/>
      <c r="C56" s="216"/>
      <c r="D56" s="78">
        <f>IF(D$4=1,5,IF(D$4=10,5,"ERROR"))</f>
        <v>5</v>
      </c>
      <c r="E56" s="78">
        <f>IF(E54=2,4,IF(E54=11,4,"ERROR"))</f>
        <v>4</v>
      </c>
      <c r="F56" s="78">
        <f>IF(F54=3,5,IF(F54=12,4,"ERROR"))</f>
        <v>5</v>
      </c>
      <c r="G56" s="78">
        <f>IF(G54=4,4,IF(G54=13,5,"ERROR"))</f>
        <v>4</v>
      </c>
      <c r="H56" s="78">
        <f>IF(H54=5,4,IF(H54=14,3,"ERROR"))</f>
        <v>4</v>
      </c>
      <c r="I56" s="78">
        <f>IF(I54=6,3,IF(I54=15,4,"ERROR"))</f>
        <v>3</v>
      </c>
      <c r="J56" s="78">
        <f>IF(J54=7,4,IF(J54=16,3,"ERROR"))</f>
        <v>4</v>
      </c>
      <c r="K56" s="78">
        <f>IF(K54=8,3,IF(K54=17,4,"ERROR"))</f>
        <v>3</v>
      </c>
      <c r="L56" s="78">
        <f>IF(L54=9,4,IF(L54=18,4,"ERROR"))</f>
        <v>4</v>
      </c>
      <c r="M56" s="78">
        <f>SUM(D56:L56)</f>
        <v>36</v>
      </c>
      <c r="N56" s="135" t="str">
        <f>$N$6</f>
        <v>Week 3</v>
      </c>
    </row>
    <row r="57" spans="1:14" s="132" customFormat="1" ht="21.75" customHeight="1">
      <c r="A57" s="225" t="s">
        <v>16</v>
      </c>
      <c r="B57" s="226"/>
      <c r="C57" s="226"/>
      <c r="D57" s="79">
        <f>IF(D$4=1,5,IF(D$4=10,6,"ERROR"))</f>
        <v>5</v>
      </c>
      <c r="E57" s="79">
        <f>IF(E54=2,7,IF(E54=11,10,"ERROR"))</f>
        <v>7</v>
      </c>
      <c r="F57" s="79">
        <f>IF(F54=3,3,IF(F54=12,8,"ERROR"))</f>
        <v>3</v>
      </c>
      <c r="G57" s="79">
        <f>IF(G54=4,9,IF(G54=13,4,"ERROR"))</f>
        <v>9</v>
      </c>
      <c r="H57" s="79">
        <f>IF(H54=5,11,IF(H54=14,16,"ERROR"))</f>
        <v>11</v>
      </c>
      <c r="I57" s="79">
        <f>IF(I54=6,17,IF(I54=15,12,"ERROR"))</f>
        <v>17</v>
      </c>
      <c r="J57" s="79">
        <f>IF(J54=7,1,IF(J54=16,18,"ERROR"))</f>
        <v>1</v>
      </c>
      <c r="K57" s="79">
        <f>IF(K54=8,15,IF(K54=17,14,"ERROR"))</f>
        <v>15</v>
      </c>
      <c r="L57" s="79">
        <f>IF(L54=9,13,IF(L54=18,2,"ERROR"))</f>
        <v>13</v>
      </c>
      <c r="M57" s="80"/>
      <c r="N57" s="136">
        <f>$N$7</f>
        <v>38903</v>
      </c>
    </row>
    <row r="58" spans="1:14" s="132" customFormat="1" ht="21.75" customHeight="1">
      <c r="A58" s="213" t="s">
        <v>12</v>
      </c>
      <c r="B58" s="213"/>
      <c r="C58" s="213"/>
      <c r="D58" s="75">
        <f>IF(D54=1,375,IF(D54=10,290,"ERROR"))</f>
        <v>375</v>
      </c>
      <c r="E58" s="75">
        <f>IF(E54=2,250,IF(E54=11,200,"ERROR"))</f>
        <v>250</v>
      </c>
      <c r="F58" s="75">
        <f>IF(F54=3,475,IF(F54=12,205,"ERROR"))</f>
        <v>475</v>
      </c>
      <c r="G58" s="75">
        <f>IF(G54=4,255,IF(G54=13,350,"ERROR"))</f>
        <v>255</v>
      </c>
      <c r="H58" s="75">
        <f>IF(H54=5,325,IF(H54=14,140,"ERROR"))</f>
        <v>325</v>
      </c>
      <c r="I58" s="75">
        <f>IF(I54=6,155,IF(I54=15,290,"ERROR"))</f>
        <v>155</v>
      </c>
      <c r="J58" s="75">
        <f>IF(J54=7,375,IF(J54=16,125,"ERROR"))</f>
        <v>375</v>
      </c>
      <c r="K58" s="75">
        <f>IF(K54=8,130,IF(K54=17,255,"ERROR"))</f>
        <v>130</v>
      </c>
      <c r="L58" s="75">
        <f>IF(L54=9,290,IF(L54=18,280,"ERROR"))</f>
        <v>290</v>
      </c>
      <c r="M58" s="76">
        <f>SUM(D58:L58)</f>
        <v>2630</v>
      </c>
      <c r="N58" s="137" t="str">
        <f>$N$8</f>
        <v>FRONT</v>
      </c>
    </row>
    <row r="59" spans="1:15" s="132" customFormat="1" ht="21.75" customHeight="1">
      <c r="A59" s="216" t="s">
        <v>15</v>
      </c>
      <c r="B59" s="216"/>
      <c r="C59" s="216"/>
      <c r="D59" s="78">
        <f>IF(D$4=1,5,IF(D$4=10,4,"ERROR"))</f>
        <v>5</v>
      </c>
      <c r="E59" s="78">
        <f>IF(E$4=2,4,IF(E$4=11,4,"ERROR"))</f>
        <v>4</v>
      </c>
      <c r="F59" s="78">
        <f>IF(F$4=3,5,IF(F$4=12,4,"ERROR"))</f>
        <v>5</v>
      </c>
      <c r="G59" s="78">
        <f>IF(G$4=4,4,IF(G$4=13,5,"ERROR"))</f>
        <v>4</v>
      </c>
      <c r="H59" s="78">
        <f>IF(H$4=5,4,IF(H$4=14,3,"ERROR"))</f>
        <v>4</v>
      </c>
      <c r="I59" s="78">
        <f>IF(I$4=6,3,IF(I$4=15,4,"ERROR"))</f>
        <v>3</v>
      </c>
      <c r="J59" s="78">
        <f>IF(J$4=7,5,IF(J$4=16,3,"ERROR"))</f>
        <v>5</v>
      </c>
      <c r="K59" s="78">
        <f>IF(K$4=8,3,IF(K$4=17,4,"ERROR"))</f>
        <v>3</v>
      </c>
      <c r="L59" s="78">
        <f>IF(L$4=9,4,IF(L$4=18,4,"ERROR"))</f>
        <v>4</v>
      </c>
      <c r="M59" s="78">
        <f>SUM(D59:L59)</f>
        <v>37</v>
      </c>
      <c r="N59" s="135">
        <v>0.19305555555555554</v>
      </c>
      <c r="O59" s="133"/>
    </row>
    <row r="60" spans="1:14" s="132" customFormat="1" ht="21.75" customHeight="1">
      <c r="A60" s="81" t="s">
        <v>0</v>
      </c>
      <c r="B60" s="81" t="s">
        <v>1</v>
      </c>
      <c r="C60" s="82" t="s">
        <v>13</v>
      </c>
      <c r="D60" s="83">
        <f>IF(D$4=1,5,IF(D$4=10,4,"ERROR"))</f>
        <v>5</v>
      </c>
      <c r="E60" s="83">
        <f>IF(E$4=2,7,IF(E$4=11,2,"ERROR"))</f>
        <v>7</v>
      </c>
      <c r="F60" s="83">
        <f>IF(F$4=3,3,IF(F$4=12,8,"ERROR"))</f>
        <v>3</v>
      </c>
      <c r="G60" s="83">
        <f>IF(G$4=4,9,IF(G$4=13,6,"ERROR"))</f>
        <v>9</v>
      </c>
      <c r="H60" s="83">
        <f>IF(H$4=5,11,IF(H$4=14,16,"ERROR"))</f>
        <v>11</v>
      </c>
      <c r="I60" s="83">
        <f>IF(I$4=6,17,IF(I$4=15,12,"ERROR"))</f>
        <v>17</v>
      </c>
      <c r="J60" s="83">
        <f>IF(J$4=7,1,IF(J$4=16,18,"ERROR"))</f>
        <v>1</v>
      </c>
      <c r="K60" s="83">
        <f>IF(K$4=8,15,IF(K$4=17,14,"ERROR"))</f>
        <v>15</v>
      </c>
      <c r="L60" s="83">
        <f>IF(L$4=9,13,IF(L$4=18,10,"ERROR"))</f>
        <v>13</v>
      </c>
      <c r="M60" s="84"/>
      <c r="N60" s="137" t="str">
        <f>VLOOKUP(N59,'SCHEDULE &amp; POINTS'!$B$8:$I$14,RIGHT($N$6)+1,FALSE)</f>
        <v>3 v 6</v>
      </c>
    </row>
    <row r="61" spans="1:13" ht="12.75" customHeight="1">
      <c r="A61" s="27"/>
      <c r="B61" s="73"/>
      <c r="C61" s="27"/>
      <c r="D61" s="38">
        <f>IF($B75-9&gt;=IF(VLOOKUP($B62,'SCORES &amp; HANDICAP CALCULATOR'!$B$3:$E$67,3,FALSE)="F",D$24,D$23),2,IF($B75&gt;=IF(VLOOKUP($B62,'SCORES &amp; HANDICAP CALCULATOR'!$B$3:$E$67,3,FALSE)="F",D$24,D$23),1,0))</f>
        <v>0</v>
      </c>
      <c r="E61" s="38">
        <f>IF($B75-9&gt;=IF(VLOOKUP($B62,'SCORES &amp; HANDICAP CALCULATOR'!$B$3:$E$67,3,FALSE)="F",E$24,E$23),2,IF($B75&gt;=IF(VLOOKUP($B62,'SCORES &amp; HANDICAP CALCULATOR'!$B$3:$E$67,3,FALSE)="F",E$24,E$23),1,0))</f>
        <v>0</v>
      </c>
      <c r="F61" s="38">
        <f>IF($B75-9&gt;=IF(VLOOKUP($B62,'SCORES &amp; HANDICAP CALCULATOR'!$B$3:$E$67,3,FALSE)="F",F$24,F$23),2,IF($B75&gt;=IF(VLOOKUP($B62,'SCORES &amp; HANDICAP CALCULATOR'!$B$3:$E$67,3,FALSE)="F",F$24,F$23),1,0))</f>
        <v>0</v>
      </c>
      <c r="G61" s="38">
        <f>IF($B75-9&gt;=IF(VLOOKUP($B62,'SCORES &amp; HANDICAP CALCULATOR'!$B$3:$E$67,3,FALSE)="F",G$24,G$23),2,IF($B75&gt;=IF(VLOOKUP($B62,'SCORES &amp; HANDICAP CALCULATOR'!$B$3:$E$67,3,FALSE)="F",G$24,G$23),1,0))</f>
        <v>0</v>
      </c>
      <c r="H61" s="38">
        <f>IF($B75-9&gt;=IF(VLOOKUP($B62,'SCORES &amp; HANDICAP CALCULATOR'!$B$3:$E$67,3,FALSE)="F",H$24,H$23),2,IF($B75&gt;=IF(VLOOKUP($B62,'SCORES &amp; HANDICAP CALCULATOR'!$B$3:$E$67,3,FALSE)="F",H$24,H$23),1,0))</f>
        <v>0</v>
      </c>
      <c r="I61" s="38">
        <f>IF($B75-9&gt;=IF(VLOOKUP($B62,'SCORES &amp; HANDICAP CALCULATOR'!$B$3:$E$67,3,FALSE)="F",I$24,I$23),2,IF($B75&gt;=IF(VLOOKUP($B62,'SCORES &amp; HANDICAP CALCULATOR'!$B$3:$E$67,3,FALSE)="F",I$24,I$23),1,0))</f>
        <v>0</v>
      </c>
      <c r="J61" s="38">
        <f>IF($B75-9&gt;=IF(VLOOKUP($B62,'SCORES &amp; HANDICAP CALCULATOR'!$B$3:$E$67,3,FALSE)="F",J$24,J$23),2,IF($B75&gt;=IF(VLOOKUP($B62,'SCORES &amp; HANDICAP CALCULATOR'!$B$3:$E$67,3,FALSE)="F",J$24,J$23),1,0))</f>
        <v>0</v>
      </c>
      <c r="K61" s="38">
        <f>IF($B75-9&gt;=IF(VLOOKUP($B62,'SCORES &amp; HANDICAP CALCULATOR'!$B$3:$E$67,3,FALSE)="F",K$24,K$23),2,IF($B75&gt;=IF(VLOOKUP($B62,'SCORES &amp; HANDICAP CALCULATOR'!$B$3:$E$67,3,FALSE)="F",K$24,K$23),1,0))</f>
        <v>0</v>
      </c>
      <c r="L61" s="38">
        <f>IF($B75-9&gt;=IF(VLOOKUP($B62,'SCORES &amp; HANDICAP CALCULATOR'!$B$3:$E$67,3,FALSE)="F",L$24,L$23),2,IF($B75&gt;=IF(VLOOKUP($B62,'SCORES &amp; HANDICAP CALCULATOR'!$B$3:$E$67,3,FALSE)="F",L$24,L$23),1,0))</f>
        <v>0</v>
      </c>
      <c r="M61" s="38">
        <f>SUM(D61:L61)</f>
        <v>0</v>
      </c>
    </row>
    <row r="62" spans="1:14" ht="34.5" customHeight="1">
      <c r="A62" s="54">
        <f>VLOOKUP(B62,'SCORES &amp; HANDICAP CALCULATOR'!$B$3:$E$67,4,FALSE)</f>
        <v>6</v>
      </c>
      <c r="B62" s="54" t="str">
        <f>N62&amp;"A"</f>
        <v>3A</v>
      </c>
      <c r="C62" s="54" t="str">
        <f>VLOOKUP(B62,'SCORES &amp; HANDICAP CALCULATOR'!$B$3:$E$50,2,FALSE)</f>
        <v>Ralph Romano</v>
      </c>
      <c r="D62" s="29"/>
      <c r="E62" s="30"/>
      <c r="F62" s="30"/>
      <c r="G62" s="30"/>
      <c r="H62" s="30"/>
      <c r="I62" s="30"/>
      <c r="J62" s="30"/>
      <c r="K62" s="30"/>
      <c r="L62" s="30"/>
      <c r="M62" s="30"/>
      <c r="N62" s="9" t="str">
        <f>LEFT(SUBSTITUTE(N60," v ",","),FIND(",",SUBSTITUTE(N60," v ",","))-1)</f>
        <v>3</v>
      </c>
    </row>
    <row r="63" spans="1:13" ht="12.75" customHeight="1">
      <c r="A63" s="27"/>
      <c r="B63" s="70"/>
      <c r="C63" s="27"/>
      <c r="D63" s="38">
        <f>IF($B76-9&gt;=IF(VLOOKUP($B64,'SCORES &amp; HANDICAP CALCULATOR'!$B$3:$E$67,3,FALSE)="F",D$24,D$23),2,IF($B76&gt;=IF(VLOOKUP($B64,'SCORES &amp; HANDICAP CALCULATOR'!$B$3:$E$67,3,FALSE)="F",D$24,D$23),1,0))</f>
        <v>1</v>
      </c>
      <c r="E63" s="38">
        <f>IF($B76-9&gt;=IF(VLOOKUP($B64,'SCORES &amp; HANDICAP CALCULATOR'!$B$3:$E$67,3,FALSE)="F",E$24,E$23),2,IF($B76&gt;=IF(VLOOKUP($B64,'SCORES &amp; HANDICAP CALCULATOR'!$B$3:$E$67,3,FALSE)="F",E$24,E$23),1,0))</f>
        <v>1</v>
      </c>
      <c r="F63" s="38">
        <f>IF($B76-9&gt;=IF(VLOOKUP($B64,'SCORES &amp; HANDICAP CALCULATOR'!$B$3:$E$67,3,FALSE)="F",F$24,F$23),2,IF($B76&gt;=IF(VLOOKUP($B64,'SCORES &amp; HANDICAP CALCULATOR'!$B$3:$E$67,3,FALSE)="F",F$24,F$23),1,0))</f>
        <v>1</v>
      </c>
      <c r="G63" s="38">
        <f>IF($B76-9&gt;=IF(VLOOKUP($B64,'SCORES &amp; HANDICAP CALCULATOR'!$B$3:$E$67,3,FALSE)="F",G$24,G$23),2,IF($B76&gt;=IF(VLOOKUP($B64,'SCORES &amp; HANDICAP CALCULATOR'!$B$3:$E$67,3,FALSE)="F",G$24,G$23),1,0))</f>
        <v>1</v>
      </c>
      <c r="H63" s="38">
        <f>IF($B76-9&gt;=IF(VLOOKUP($B64,'SCORES &amp; HANDICAP CALCULATOR'!$B$3:$E$67,3,FALSE)="F",H$24,H$23),2,IF($B76&gt;=IF(VLOOKUP($B64,'SCORES &amp; HANDICAP CALCULATOR'!$B$3:$E$67,3,FALSE)="F",H$24,H$23),1,0))</f>
        <v>0</v>
      </c>
      <c r="I63" s="38">
        <f>IF($B76-9&gt;=IF(VLOOKUP($B64,'SCORES &amp; HANDICAP CALCULATOR'!$B$3:$E$67,3,FALSE)="F",I$24,I$23),2,IF($B76&gt;=IF(VLOOKUP($B64,'SCORES &amp; HANDICAP CALCULATOR'!$B$3:$E$67,3,FALSE)="F",I$24,I$23),1,0))</f>
        <v>0</v>
      </c>
      <c r="J63" s="38">
        <f>IF($B76-9&gt;=IF(VLOOKUP($B64,'SCORES &amp; HANDICAP CALCULATOR'!$B$3:$E$67,3,FALSE)="F",J$24,J$23),2,IF($B76&gt;=IF(VLOOKUP($B64,'SCORES &amp; HANDICAP CALCULATOR'!$B$3:$E$67,3,FALSE)="F",J$24,J$23),1,0))</f>
        <v>1</v>
      </c>
      <c r="K63" s="38">
        <f>IF($B76-9&gt;=IF(VLOOKUP($B64,'SCORES &amp; HANDICAP CALCULATOR'!$B$3:$E$67,3,FALSE)="F",K$24,K$23),2,IF($B76&gt;=IF(VLOOKUP($B64,'SCORES &amp; HANDICAP CALCULATOR'!$B$3:$E$67,3,FALSE)="F",K$24,K$23),1,0))</f>
        <v>0</v>
      </c>
      <c r="L63" s="38">
        <f>IF($B76-9&gt;=IF(VLOOKUP($B64,'SCORES &amp; HANDICAP CALCULATOR'!$B$3:$E$67,3,FALSE)="F",L$24,L$23),2,IF($B76&gt;=IF(VLOOKUP($B64,'SCORES &amp; HANDICAP CALCULATOR'!$B$3:$E$67,3,FALSE)="F",L$24,L$23),1,0))</f>
        <v>0</v>
      </c>
      <c r="M63" s="38">
        <f>SUM(D63:L63)</f>
        <v>5</v>
      </c>
    </row>
    <row r="64" spans="1:13" ht="34.5" customHeight="1">
      <c r="A64" s="54">
        <f>VLOOKUP(B64,'SCORES &amp; HANDICAP CALCULATOR'!$B$3:$E$67,4,FALSE)</f>
        <v>11</v>
      </c>
      <c r="B64" s="54" t="str">
        <f>N62&amp;"B"</f>
        <v>3B</v>
      </c>
      <c r="C64" s="54" t="str">
        <f>VLOOKUP(B64,'SCORES &amp; HANDICAP CALCULATOR'!$B$3:$E$50,2,FALSE)</f>
        <v>Mike Romano</v>
      </c>
      <c r="D64" s="29"/>
      <c r="E64" s="30"/>
      <c r="F64" s="30"/>
      <c r="G64" s="30"/>
      <c r="H64" s="30"/>
      <c r="I64" s="30"/>
      <c r="J64" s="30"/>
      <c r="K64" s="30"/>
      <c r="L64" s="30"/>
      <c r="M64" s="30"/>
    </row>
    <row r="65" spans="1:13" ht="21.75" customHeight="1">
      <c r="A65" s="31"/>
      <c r="B65" s="71"/>
      <c r="C65" s="217" t="s">
        <v>87</v>
      </c>
      <c r="D65" s="32"/>
      <c r="E65" s="32"/>
      <c r="F65" s="32"/>
      <c r="G65" s="32"/>
      <c r="H65" s="32"/>
      <c r="I65" s="32"/>
      <c r="J65" s="32"/>
      <c r="K65" s="32"/>
      <c r="L65" s="32"/>
      <c r="M65" s="61"/>
    </row>
    <row r="66" spans="1:13" ht="21.75" customHeight="1">
      <c r="A66" s="33"/>
      <c r="B66" s="72"/>
      <c r="C66" s="218"/>
      <c r="D66" s="32"/>
      <c r="E66" s="32"/>
      <c r="F66" s="32"/>
      <c r="G66" s="32"/>
      <c r="H66" s="32"/>
      <c r="I66" s="32"/>
      <c r="J66" s="32"/>
      <c r="K66" s="32"/>
      <c r="L66" s="32"/>
      <c r="M66" s="61"/>
    </row>
    <row r="67" spans="1:13" ht="12.75" customHeight="1">
      <c r="A67" s="27"/>
      <c r="B67" s="70"/>
      <c r="C67" s="27"/>
      <c r="D67" s="38">
        <f>IF($B78-9&gt;=IF(VLOOKUP($B68,'SCORES &amp; HANDICAP CALCULATOR'!$B$3:$E$67,3,FALSE)="F",D$24,D$23),2,IF($B78&gt;=IF(VLOOKUP($B68,'SCORES &amp; HANDICAP CALCULATOR'!$B$3:$E$67,3,FALSE)="F",D$24,D$23),1,0))</f>
        <v>1</v>
      </c>
      <c r="E67" s="38">
        <f>IF($B78-9&gt;=IF(VLOOKUP($B68,'SCORES &amp; HANDICAP CALCULATOR'!$B$3:$E$67,3,FALSE)="F",E$24,E$23),2,IF($B78&gt;=IF(VLOOKUP($B68,'SCORES &amp; HANDICAP CALCULATOR'!$B$3:$E$67,3,FALSE)="F",E$24,E$23),1,0))</f>
        <v>1</v>
      </c>
      <c r="F67" s="38">
        <f>IF($B78-9&gt;=IF(VLOOKUP($B68,'SCORES &amp; HANDICAP CALCULATOR'!$B$3:$E$67,3,FALSE)="F",F$24,F$23),2,IF($B78&gt;=IF(VLOOKUP($B68,'SCORES &amp; HANDICAP CALCULATOR'!$B$3:$E$67,3,FALSE)="F",F$24,F$23),1,0))</f>
        <v>1</v>
      </c>
      <c r="G67" s="38">
        <f>IF($B78-9&gt;=IF(VLOOKUP($B68,'SCORES &amp; HANDICAP CALCULATOR'!$B$3:$E$67,3,FALSE)="F",G$24,G$23),2,IF($B78&gt;=IF(VLOOKUP($B68,'SCORES &amp; HANDICAP CALCULATOR'!$B$3:$E$67,3,FALSE)="F",G$24,G$23),1,0))</f>
        <v>1</v>
      </c>
      <c r="H67" s="38">
        <f>IF($B78-9&gt;=IF(VLOOKUP($B68,'SCORES &amp; HANDICAP CALCULATOR'!$B$3:$E$67,3,FALSE)="F",H$24,H$23),2,IF($B78&gt;=IF(VLOOKUP($B68,'SCORES &amp; HANDICAP CALCULATOR'!$B$3:$E$67,3,FALSE)="F",H$24,H$23),1,0))</f>
        <v>0</v>
      </c>
      <c r="I67" s="38">
        <f>IF($B78-9&gt;=IF(VLOOKUP($B68,'SCORES &amp; HANDICAP CALCULATOR'!$B$3:$E$67,3,FALSE)="F",I$24,I$23),2,IF($B78&gt;=IF(VLOOKUP($B68,'SCORES &amp; HANDICAP CALCULATOR'!$B$3:$E$67,3,FALSE)="F",I$24,I$23),1,0))</f>
        <v>0</v>
      </c>
      <c r="J67" s="38">
        <f>IF($B78-9&gt;=IF(VLOOKUP($B68,'SCORES &amp; HANDICAP CALCULATOR'!$B$3:$E$67,3,FALSE)="F",J$24,J$23),2,IF($B78&gt;=IF(VLOOKUP($B68,'SCORES &amp; HANDICAP CALCULATOR'!$B$3:$E$67,3,FALSE)="F",J$24,J$23),1,0))</f>
        <v>1</v>
      </c>
      <c r="K67" s="38">
        <f>IF($B78-9&gt;=IF(VLOOKUP($B68,'SCORES &amp; HANDICAP CALCULATOR'!$B$3:$E$67,3,FALSE)="F",K$24,K$23),2,IF($B78&gt;=IF(VLOOKUP($B68,'SCORES &amp; HANDICAP CALCULATOR'!$B$3:$E$67,3,FALSE)="F",K$24,K$23),1,0))</f>
        <v>0</v>
      </c>
      <c r="L67" s="38">
        <f>IF($B78-9&gt;=IF(VLOOKUP($B68,'SCORES &amp; HANDICAP CALCULATOR'!$B$3:$E$67,3,FALSE)="F",L$24,L$23),2,IF($B78&gt;=IF(VLOOKUP($B68,'SCORES &amp; HANDICAP CALCULATOR'!$B$3:$E$67,3,FALSE)="F",L$24,L$23),1,0))</f>
        <v>0</v>
      </c>
      <c r="M67" s="38">
        <f>SUM(D67:L67)</f>
        <v>5</v>
      </c>
    </row>
    <row r="68" spans="1:14" ht="34.5" customHeight="1">
      <c r="A68" s="54">
        <f>VLOOKUP(B68,'SCORES &amp; HANDICAP CALCULATOR'!$B$3:$E$67,4,FALSE)</f>
        <v>11</v>
      </c>
      <c r="B68" s="54" t="str">
        <f>N68&amp;"A"</f>
        <v>6A</v>
      </c>
      <c r="C68" s="54" t="str">
        <f>VLOOKUP(B68,'SCORES &amp; HANDICAP CALCULATOR'!$B$3:$E$50,2,FALSE)</f>
        <v>Dennis Normandin</v>
      </c>
      <c r="D68" s="29"/>
      <c r="E68" s="30"/>
      <c r="F68" s="30"/>
      <c r="G68" s="30"/>
      <c r="H68" s="30"/>
      <c r="I68" s="30"/>
      <c r="J68" s="30"/>
      <c r="K68" s="30"/>
      <c r="L68" s="30"/>
      <c r="M68" s="30"/>
      <c r="N68" s="9" t="str">
        <f>RIGHT(SUBSTITUTE(N60," v ",","),LEN(SUBSTITUTE(N60," v ",","))-FIND(",",SUBSTITUTE(N60," v ",",")))</f>
        <v>6</v>
      </c>
    </row>
    <row r="69" spans="1:13" ht="12.75" customHeight="1">
      <c r="A69" s="27"/>
      <c r="B69" s="70"/>
      <c r="C69" s="27"/>
      <c r="D69" s="38">
        <f>IF($B79-9&gt;=IF(VLOOKUP($B70,'SCORES &amp; HANDICAP CALCULATOR'!$B$3:$E$67,3,FALSE)="F",D$24,D$23),2,IF($B79&gt;=IF(VLOOKUP($B70,'SCORES &amp; HANDICAP CALCULATOR'!$B$3:$E$67,3,FALSE)="F",D$24,D$23),1,0))</f>
        <v>0</v>
      </c>
      <c r="E69" s="38">
        <f>IF($B79-9&gt;=IF(VLOOKUP($B70,'SCORES &amp; HANDICAP CALCULATOR'!$B$3:$E$67,3,FALSE)="F",E$24,E$23),2,IF($B79&gt;=IF(VLOOKUP($B70,'SCORES &amp; HANDICAP CALCULATOR'!$B$3:$E$67,3,FALSE)="F",E$24,E$23),1,0))</f>
        <v>0</v>
      </c>
      <c r="F69" s="38">
        <f>IF($B79-9&gt;=IF(VLOOKUP($B70,'SCORES &amp; HANDICAP CALCULATOR'!$B$3:$E$67,3,FALSE)="F",F$24,F$23),2,IF($B79&gt;=IF(VLOOKUP($B70,'SCORES &amp; HANDICAP CALCULATOR'!$B$3:$E$67,3,FALSE)="F",F$24,F$23),1,0))</f>
        <v>0</v>
      </c>
      <c r="G69" s="38">
        <f>IF($B79-9&gt;=IF(VLOOKUP($B70,'SCORES &amp; HANDICAP CALCULATOR'!$B$3:$E$67,3,FALSE)="F",G$24,G$23),2,IF($B79&gt;=IF(VLOOKUP($B70,'SCORES &amp; HANDICAP CALCULATOR'!$B$3:$E$67,3,FALSE)="F",G$24,G$23),1,0))</f>
        <v>0</v>
      </c>
      <c r="H69" s="38">
        <f>IF($B79-9&gt;=IF(VLOOKUP($B70,'SCORES &amp; HANDICAP CALCULATOR'!$B$3:$E$67,3,FALSE)="F",H$24,H$23),2,IF($B79&gt;=IF(VLOOKUP($B70,'SCORES &amp; HANDICAP CALCULATOR'!$B$3:$E$67,3,FALSE)="F",H$24,H$23),1,0))</f>
        <v>0</v>
      </c>
      <c r="I69" s="38">
        <f>IF($B79-9&gt;=IF(VLOOKUP($B70,'SCORES &amp; HANDICAP CALCULATOR'!$B$3:$E$67,3,FALSE)="F",I$24,I$23),2,IF($B79&gt;=IF(VLOOKUP($B70,'SCORES &amp; HANDICAP CALCULATOR'!$B$3:$E$67,3,FALSE)="F",I$24,I$23),1,0))</f>
        <v>0</v>
      </c>
      <c r="J69" s="38">
        <f>IF($B79-9&gt;=IF(VLOOKUP($B70,'SCORES &amp; HANDICAP CALCULATOR'!$B$3:$E$67,3,FALSE)="F",J$24,J$23),2,IF($B79&gt;=IF(VLOOKUP($B70,'SCORES &amp; HANDICAP CALCULATOR'!$B$3:$E$67,3,FALSE)="F",J$24,J$23),1,0))</f>
        <v>0</v>
      </c>
      <c r="K69" s="38">
        <f>IF($B79-9&gt;=IF(VLOOKUP($B70,'SCORES &amp; HANDICAP CALCULATOR'!$B$3:$E$67,3,FALSE)="F",K$24,K$23),2,IF($B79&gt;=IF(VLOOKUP($B70,'SCORES &amp; HANDICAP CALCULATOR'!$B$3:$E$67,3,FALSE)="F",K$24,K$23),1,0))</f>
        <v>0</v>
      </c>
      <c r="L69" s="38">
        <f>IF($B79-9&gt;=IF(VLOOKUP($B70,'SCORES &amp; HANDICAP CALCULATOR'!$B$3:$E$67,3,FALSE)="F",L$24,L$23),2,IF($B79&gt;=IF(VLOOKUP($B70,'SCORES &amp; HANDICAP CALCULATOR'!$B$3:$E$67,3,FALSE)="F",L$24,L$23),1,0))</f>
        <v>0</v>
      </c>
      <c r="M69" s="38">
        <f>SUM(D69:L69)</f>
        <v>0</v>
      </c>
    </row>
    <row r="70" spans="1:13" ht="34.5" customHeight="1">
      <c r="A70" s="54">
        <f>VLOOKUP(B70,'SCORES &amp; HANDICAP CALCULATOR'!$B$3:$E$67,4,FALSE)</f>
        <v>6</v>
      </c>
      <c r="B70" s="54" t="str">
        <f>N68&amp;"B"</f>
        <v>6B</v>
      </c>
      <c r="C70" s="54" t="str">
        <f>VLOOKUP(B70,'SCORES &amp; HANDICAP CALCULATOR'!$B$3:$E$50,2,FALSE)</f>
        <v>Marc Normandin</v>
      </c>
      <c r="D70" s="29"/>
      <c r="E70" s="30"/>
      <c r="F70" s="30"/>
      <c r="G70" s="30"/>
      <c r="H70" s="30"/>
      <c r="I70" s="30"/>
      <c r="J70" s="30"/>
      <c r="K70" s="30"/>
      <c r="L70" s="30"/>
      <c r="M70" s="30"/>
    </row>
    <row r="71" spans="1:13" ht="21.75" customHeight="1">
      <c r="A71" s="34"/>
      <c r="B71" s="34"/>
      <c r="C71" s="34"/>
      <c r="D71" s="35"/>
      <c r="E71" s="35"/>
      <c r="F71" s="35"/>
      <c r="G71" s="35"/>
      <c r="H71" s="35"/>
      <c r="I71" s="35"/>
      <c r="J71" s="35"/>
      <c r="K71" s="35"/>
      <c r="L71" s="35"/>
      <c r="M71" s="36"/>
    </row>
    <row r="72" spans="1:13" ht="21.75" customHeight="1">
      <c r="A72" s="214" t="str">
        <f>CONCATENATE("TEE TIME: ",TEXT(N59,"h:mm")," PM")</f>
        <v>TEE TIME: 4:38 PM</v>
      </c>
      <c r="B72" s="215"/>
      <c r="C72" s="215"/>
      <c r="D72" s="215"/>
      <c r="E72" s="215"/>
      <c r="F72" s="215"/>
      <c r="G72" s="215"/>
      <c r="H72" s="215"/>
      <c r="I72" s="215"/>
      <c r="J72" s="215"/>
      <c r="K72" s="215"/>
      <c r="L72" s="215"/>
      <c r="M72" s="215"/>
    </row>
    <row r="73" spans="1:13" ht="21.75" customHeight="1" hidden="1">
      <c r="A73" s="28"/>
      <c r="B73" s="28"/>
      <c r="C73" s="118" t="s">
        <v>88</v>
      </c>
      <c r="D73" s="28">
        <f>D$23</f>
        <v>3</v>
      </c>
      <c r="E73" s="28">
        <f aca="true" t="shared" si="2" ref="E73:L73">E$23</f>
        <v>4</v>
      </c>
      <c r="F73" s="28">
        <f t="shared" si="2"/>
        <v>2</v>
      </c>
      <c r="G73" s="28">
        <f t="shared" si="2"/>
        <v>5</v>
      </c>
      <c r="H73" s="28">
        <f t="shared" si="2"/>
        <v>6</v>
      </c>
      <c r="I73" s="28">
        <f t="shared" si="2"/>
        <v>9</v>
      </c>
      <c r="J73" s="28">
        <f t="shared" si="2"/>
        <v>1</v>
      </c>
      <c r="K73" s="28">
        <f t="shared" si="2"/>
        <v>8</v>
      </c>
      <c r="L73" s="28">
        <f t="shared" si="2"/>
        <v>7</v>
      </c>
      <c r="M73" s="37"/>
    </row>
    <row r="74" spans="1:13" ht="21.75" customHeight="1" hidden="1">
      <c r="A74" s="28"/>
      <c r="B74" s="28"/>
      <c r="C74" s="118" t="s">
        <v>89</v>
      </c>
      <c r="D74" s="28">
        <f>D$24</f>
        <v>3</v>
      </c>
      <c r="E74" s="28">
        <f aca="true" t="shared" si="3" ref="E74:L74">E$24</f>
        <v>4</v>
      </c>
      <c r="F74" s="28">
        <f t="shared" si="3"/>
        <v>2</v>
      </c>
      <c r="G74" s="28">
        <f t="shared" si="3"/>
        <v>5</v>
      </c>
      <c r="H74" s="28">
        <f t="shared" si="3"/>
        <v>6</v>
      </c>
      <c r="I74" s="28">
        <f t="shared" si="3"/>
        <v>9</v>
      </c>
      <c r="J74" s="28">
        <f t="shared" si="3"/>
        <v>1</v>
      </c>
      <c r="K74" s="28">
        <f t="shared" si="3"/>
        <v>8</v>
      </c>
      <c r="L74" s="28">
        <f t="shared" si="3"/>
        <v>7</v>
      </c>
      <c r="M74" s="28"/>
    </row>
    <row r="75" spans="1:13" ht="21.75" customHeight="1" hidden="1">
      <c r="A75" s="28">
        <f>MIN(A62:A70)</f>
        <v>6</v>
      </c>
      <c r="B75" s="28">
        <f>A62-A75</f>
        <v>0</v>
      </c>
      <c r="C75" s="28"/>
      <c r="D75" s="28"/>
      <c r="E75" s="28"/>
      <c r="F75" s="28"/>
      <c r="G75" s="28"/>
      <c r="H75" s="28"/>
      <c r="I75" s="28"/>
      <c r="J75" s="28"/>
      <c r="K75" s="28"/>
      <c r="L75" s="28"/>
      <c r="M75" s="28"/>
    </row>
    <row r="76" spans="1:13" ht="21.75" customHeight="1" hidden="1">
      <c r="A76" s="28"/>
      <c r="B76" s="28">
        <f>A64-A75</f>
        <v>5</v>
      </c>
      <c r="C76" s="28"/>
      <c r="D76" s="28"/>
      <c r="E76" s="28"/>
      <c r="F76" s="28"/>
      <c r="G76" s="28"/>
      <c r="H76" s="28"/>
      <c r="I76" s="28"/>
      <c r="J76" s="28"/>
      <c r="K76" s="28"/>
      <c r="L76" s="28"/>
      <c r="M76" s="28"/>
    </row>
    <row r="77" spans="1:13" ht="21.75" customHeight="1" hidden="1">
      <c r="A77" s="28"/>
      <c r="B77" s="28"/>
      <c r="C77" s="28"/>
      <c r="D77" s="28"/>
      <c r="E77" s="28"/>
      <c r="F77" s="28"/>
      <c r="G77" s="28"/>
      <c r="H77" s="28"/>
      <c r="I77" s="28"/>
      <c r="J77" s="28"/>
      <c r="K77" s="28"/>
      <c r="L77" s="28"/>
      <c r="M77" s="28"/>
    </row>
    <row r="78" spans="1:13" ht="21.75" customHeight="1" hidden="1">
      <c r="A78" s="28"/>
      <c r="B78" s="28">
        <f>A68-A75</f>
        <v>5</v>
      </c>
      <c r="C78" s="28"/>
      <c r="D78" s="28"/>
      <c r="E78" s="28"/>
      <c r="F78" s="28"/>
      <c r="G78" s="28"/>
      <c r="H78" s="28"/>
      <c r="I78" s="28"/>
      <c r="J78" s="28"/>
      <c r="K78" s="28"/>
      <c r="L78" s="28"/>
      <c r="M78" s="28"/>
    </row>
    <row r="79" spans="1:13" ht="21.75" customHeight="1" hidden="1">
      <c r="A79" s="28"/>
      <c r="B79" s="28">
        <f>A70-A75</f>
        <v>0</v>
      </c>
      <c r="C79" s="28"/>
      <c r="D79" s="28"/>
      <c r="E79" s="28"/>
      <c r="F79" s="28"/>
      <c r="G79" s="28"/>
      <c r="H79" s="28"/>
      <c r="I79" s="28"/>
      <c r="J79" s="28"/>
      <c r="K79" s="28"/>
      <c r="L79" s="28"/>
      <c r="M79" s="28"/>
    </row>
    <row r="80" spans="1:13" ht="21.75" customHeight="1">
      <c r="A80" s="28"/>
      <c r="B80" s="28"/>
      <c r="C80" s="28"/>
      <c r="D80" s="28"/>
      <c r="E80" s="28"/>
      <c r="F80" s="28"/>
      <c r="G80" s="28"/>
      <c r="H80" s="28"/>
      <c r="I80" s="28"/>
      <c r="J80" s="28"/>
      <c r="K80" s="28"/>
      <c r="L80" s="28"/>
      <c r="M80" s="28"/>
    </row>
    <row r="81" spans="1:13" ht="21.75" customHeight="1">
      <c r="A81" s="28"/>
      <c r="B81" s="28"/>
      <c r="C81" s="28"/>
      <c r="D81" s="28"/>
      <c r="E81" s="28"/>
      <c r="F81" s="28"/>
      <c r="G81" s="28"/>
      <c r="H81" s="28"/>
      <c r="I81" s="28"/>
      <c r="J81" s="28"/>
      <c r="K81" s="28"/>
      <c r="L81" s="28"/>
      <c r="M81" s="28"/>
    </row>
    <row r="82" spans="1:13" ht="21.75" customHeight="1">
      <c r="A82" s="212" t="str">
        <f>A32</f>
        <v>Standings - Second Half</v>
      </c>
      <c r="B82" s="210"/>
      <c r="C82" s="210"/>
      <c r="D82" s="210"/>
      <c r="E82" s="210"/>
      <c r="F82" s="211"/>
      <c r="G82" s="59"/>
      <c r="H82" s="28"/>
      <c r="I82" s="28"/>
      <c r="J82" s="28"/>
      <c r="K82" s="28"/>
      <c r="L82" s="28"/>
      <c r="M82" s="28"/>
    </row>
    <row r="83" spans="1:13" ht="21.75" customHeight="1">
      <c r="A83" s="28"/>
      <c r="B83" s="28"/>
      <c r="C83" s="28"/>
      <c r="D83" s="28"/>
      <c r="E83" s="28"/>
      <c r="F83" s="28"/>
      <c r="G83" s="28"/>
      <c r="H83" s="28"/>
      <c r="I83" s="28"/>
      <c r="J83" s="28"/>
      <c r="K83" s="28"/>
      <c r="L83" s="28"/>
      <c r="M83" s="28"/>
    </row>
    <row r="84" spans="1:13" ht="21.75" customHeight="1">
      <c r="A84" s="125" t="s">
        <v>86</v>
      </c>
      <c r="B84" s="209" t="s">
        <v>61</v>
      </c>
      <c r="C84" s="210"/>
      <c r="D84" s="210"/>
      <c r="E84" s="211"/>
      <c r="F84" s="128" t="s">
        <v>62</v>
      </c>
      <c r="G84" s="28"/>
      <c r="H84" s="28"/>
      <c r="I84" s="28"/>
      <c r="J84" s="28"/>
      <c r="K84" s="28"/>
      <c r="L84" s="28"/>
      <c r="M84" s="28"/>
    </row>
    <row r="85" spans="1:13" ht="21.75" customHeight="1">
      <c r="A85" s="129">
        <f>A$35</f>
        <v>1</v>
      </c>
      <c r="B85" s="130" t="str">
        <f>B$35</f>
        <v>09  Doug Cormier/Joe Pearson</v>
      </c>
      <c r="C85" s="126"/>
      <c r="D85" s="126"/>
      <c r="E85" s="127"/>
      <c r="F85" s="131">
        <f>F$35</f>
        <v>35</v>
      </c>
      <c r="G85" s="52">
        <v>1</v>
      </c>
      <c r="H85" s="52"/>
      <c r="I85" s="28"/>
      <c r="J85" s="28"/>
      <c r="K85" s="28"/>
      <c r="L85" s="28"/>
      <c r="M85" s="28"/>
    </row>
    <row r="86" spans="1:13" ht="21.75" customHeight="1">
      <c r="A86" s="129">
        <f>A$36</f>
        <v>2</v>
      </c>
      <c r="B86" s="130" t="str">
        <f>B$36</f>
        <v>01  Gary Bittner/Mike Dauphinais</v>
      </c>
      <c r="C86" s="126"/>
      <c r="D86" s="126"/>
      <c r="E86" s="127"/>
      <c r="F86" s="131">
        <f>F$36</f>
        <v>32</v>
      </c>
      <c r="G86" s="52">
        <v>2</v>
      </c>
      <c r="H86" s="52"/>
      <c r="I86" s="28"/>
      <c r="J86" s="28"/>
      <c r="K86" s="28"/>
      <c r="L86" s="28"/>
      <c r="M86" s="28"/>
    </row>
    <row r="87" spans="1:13" ht="21.75" customHeight="1">
      <c r="A87" s="129">
        <f>A$37</f>
        <v>3</v>
      </c>
      <c r="B87" s="130" t="str">
        <f>B$37</f>
        <v>11  Walter Drake/John Cassin</v>
      </c>
      <c r="C87" s="126"/>
      <c r="D87" s="126"/>
      <c r="E87" s="127"/>
      <c r="F87" s="131">
        <f>F$37</f>
        <v>29</v>
      </c>
      <c r="G87" s="52">
        <v>3</v>
      </c>
      <c r="H87" s="52"/>
      <c r="I87" s="28"/>
      <c r="J87" s="28"/>
      <c r="K87" s="28"/>
      <c r="L87" s="28"/>
      <c r="M87" s="28"/>
    </row>
    <row r="88" spans="1:13" ht="21.75" customHeight="1">
      <c r="A88" s="129" t="str">
        <f>A$38</f>
        <v>4T</v>
      </c>
      <c r="B88" s="130" t="str">
        <f>B$38</f>
        <v>02  Lester Lockhart/Pete Normandin</v>
      </c>
      <c r="C88" s="126"/>
      <c r="D88" s="126"/>
      <c r="E88" s="127"/>
      <c r="F88" s="131">
        <f>F$38</f>
        <v>28.5</v>
      </c>
      <c r="G88" s="52">
        <v>4</v>
      </c>
      <c r="H88" s="52"/>
      <c r="I88" s="124"/>
      <c r="J88" s="28"/>
      <c r="K88" s="28"/>
      <c r="L88" s="28"/>
      <c r="M88" s="28"/>
    </row>
    <row r="89" spans="1:13" ht="21.75" customHeight="1">
      <c r="A89" s="129" t="str">
        <f>A$39</f>
        <v>4T</v>
      </c>
      <c r="B89" s="130" t="str">
        <f>B$39</f>
        <v>03  Ralph Romano/Mike Romano</v>
      </c>
      <c r="C89" s="126"/>
      <c r="D89" s="126"/>
      <c r="E89" s="127"/>
      <c r="F89" s="131">
        <f>F$39</f>
        <v>28.5</v>
      </c>
      <c r="G89" s="52">
        <v>5</v>
      </c>
      <c r="H89" s="52"/>
      <c r="I89" s="28"/>
      <c r="J89" s="28"/>
      <c r="K89" s="28"/>
      <c r="L89" s="28"/>
      <c r="M89" s="28"/>
    </row>
    <row r="90" spans="1:13" ht="21.75" customHeight="1">
      <c r="A90" s="129">
        <f>A$40</f>
        <v>6</v>
      </c>
      <c r="B90" s="130" t="str">
        <f>B$40</f>
        <v>06  Dennis Normandin/Marc Normandin</v>
      </c>
      <c r="C90" s="126"/>
      <c r="D90" s="126"/>
      <c r="E90" s="127"/>
      <c r="F90" s="131">
        <f>F$40</f>
        <v>28</v>
      </c>
      <c r="G90" s="52">
        <v>6</v>
      </c>
      <c r="H90" s="52"/>
      <c r="I90" s="28"/>
      <c r="J90" s="28"/>
      <c r="K90" s="28"/>
      <c r="L90" s="28"/>
      <c r="M90" s="28"/>
    </row>
    <row r="91" spans="1:13" ht="21.75" customHeight="1">
      <c r="A91" s="129">
        <f>A$41</f>
        <v>7</v>
      </c>
      <c r="B91" s="130" t="str">
        <f>B$41</f>
        <v>05  Gary Leavenworth/Patty Leavenworth</v>
      </c>
      <c r="C91" s="126"/>
      <c r="D91" s="126"/>
      <c r="E91" s="127"/>
      <c r="F91" s="131">
        <f>F$41</f>
        <v>27</v>
      </c>
      <c r="G91" s="52">
        <v>7</v>
      </c>
      <c r="H91" s="52"/>
      <c r="I91" s="28"/>
      <c r="J91" s="28"/>
      <c r="K91" s="28"/>
      <c r="L91" s="28"/>
      <c r="M91" s="28"/>
    </row>
    <row r="92" spans="1:13" ht="21.75" customHeight="1">
      <c r="A92" s="129">
        <f>A$42</f>
        <v>8</v>
      </c>
      <c r="B92" s="130" t="str">
        <f>B$42</f>
        <v>04  Peg Romano/Lynn Laroche</v>
      </c>
      <c r="C92" s="126"/>
      <c r="D92" s="126"/>
      <c r="E92" s="127"/>
      <c r="F92" s="131">
        <f>F$42</f>
        <v>26</v>
      </c>
      <c r="G92" s="52">
        <v>8</v>
      </c>
      <c r="H92" s="52"/>
      <c r="I92" s="28"/>
      <c r="J92" s="28"/>
      <c r="K92" s="28"/>
      <c r="L92" s="28"/>
      <c r="M92" s="28"/>
    </row>
    <row r="93" spans="1:13" ht="21.75" customHeight="1">
      <c r="A93" s="129">
        <f>A$43</f>
        <v>9</v>
      </c>
      <c r="B93" s="130" t="str">
        <f>B$43</f>
        <v>08  Paul Fontaine/Yogi DiPasquale</v>
      </c>
      <c r="C93" s="126"/>
      <c r="D93" s="126"/>
      <c r="E93" s="127"/>
      <c r="F93" s="131">
        <f>F$43</f>
        <v>25.5</v>
      </c>
      <c r="G93" s="52">
        <v>9</v>
      </c>
      <c r="H93" s="52"/>
      <c r="I93" s="57"/>
      <c r="J93" s="28"/>
      <c r="K93" s="28"/>
      <c r="L93" s="28"/>
      <c r="M93" s="28"/>
    </row>
    <row r="94" spans="1:13" ht="21.75" customHeight="1">
      <c r="A94" s="129">
        <f>A$44</f>
        <v>10</v>
      </c>
      <c r="B94" s="130" t="str">
        <f>B$44</f>
        <v>07  Pete Romano/Ralph Romano</v>
      </c>
      <c r="C94" s="126"/>
      <c r="D94" s="126"/>
      <c r="E94" s="127"/>
      <c r="F94" s="131">
        <f>F$44</f>
        <v>25</v>
      </c>
      <c r="G94" s="52">
        <v>10</v>
      </c>
      <c r="H94" s="52"/>
      <c r="I94" s="28"/>
      <c r="J94" s="28"/>
      <c r="K94" s="28"/>
      <c r="L94" s="28"/>
      <c r="M94" s="28"/>
    </row>
    <row r="95" spans="1:13" ht="21.75" customHeight="1">
      <c r="A95" s="129">
        <f>A$45</f>
        <v>11</v>
      </c>
      <c r="B95" s="130" t="str">
        <f>B$45</f>
        <v>10  Dave Cormier/Norman Boisvert</v>
      </c>
      <c r="C95" s="126"/>
      <c r="D95" s="126"/>
      <c r="E95" s="127"/>
      <c r="F95" s="131">
        <f>F$45</f>
        <v>20.5</v>
      </c>
      <c r="G95" s="52">
        <v>11</v>
      </c>
      <c r="H95" s="52"/>
      <c r="I95" s="28"/>
      <c r="J95" s="28"/>
      <c r="K95" s="28"/>
      <c r="L95" s="28"/>
      <c r="M95" s="28"/>
    </row>
    <row r="96" spans="1:13" ht="21.75" customHeight="1">
      <c r="A96" s="129">
        <f>A$46</f>
        <v>12</v>
      </c>
      <c r="B96" s="130" t="str">
        <f>B$46</f>
        <v>12  Mike Marlborough/Rich Wilson</v>
      </c>
      <c r="C96" s="126"/>
      <c r="D96" s="126"/>
      <c r="E96" s="127"/>
      <c r="F96" s="131">
        <f>F$46</f>
        <v>18.5</v>
      </c>
      <c r="G96" s="52">
        <v>12</v>
      </c>
      <c r="H96" s="52"/>
      <c r="I96" s="28"/>
      <c r="J96" s="28"/>
      <c r="K96" s="28"/>
      <c r="L96" s="28"/>
      <c r="M96" s="28"/>
    </row>
    <row r="97" spans="1:13" ht="21.75" customHeight="1">
      <c r="A97" s="153"/>
      <c r="B97" s="154"/>
      <c r="C97" s="147"/>
      <c r="D97" s="147"/>
      <c r="E97" s="147"/>
      <c r="F97" s="155"/>
      <c r="G97" s="52"/>
      <c r="H97" s="52"/>
      <c r="I97" s="28"/>
      <c r="J97" s="28"/>
      <c r="K97" s="28"/>
      <c r="L97" s="28"/>
      <c r="M97" s="28"/>
    </row>
    <row r="98" spans="1:13" ht="21.75" customHeight="1">
      <c r="A98" s="153"/>
      <c r="B98" s="154"/>
      <c r="C98" s="147"/>
      <c r="D98" s="147"/>
      <c r="E98" s="147"/>
      <c r="F98" s="155"/>
      <c r="G98" s="52"/>
      <c r="H98" s="52"/>
      <c r="I98" s="28"/>
      <c r="J98" s="28"/>
      <c r="K98" s="28"/>
      <c r="L98" s="28"/>
      <c r="M98" s="28"/>
    </row>
    <row r="99" spans="10:13" ht="21.75" customHeight="1">
      <c r="J99" s="28"/>
      <c r="K99" s="28"/>
      <c r="L99" s="28"/>
      <c r="M99" s="28"/>
    </row>
    <row r="100" spans="10:13" ht="21.75" customHeight="1">
      <c r="J100" s="28"/>
      <c r="K100" s="28"/>
      <c r="L100" s="28"/>
      <c r="M100" s="28"/>
    </row>
    <row r="101" spans="1:14" s="132" customFormat="1" ht="21.75" customHeight="1">
      <c r="A101" s="230" t="s">
        <v>9</v>
      </c>
      <c r="B101" s="231"/>
      <c r="C101" s="231"/>
      <c r="D101" s="231"/>
      <c r="E101" s="231"/>
      <c r="F101" s="231"/>
      <c r="G101" s="231"/>
      <c r="H101" s="231"/>
      <c r="I101" s="231"/>
      <c r="J101" s="231"/>
      <c r="K101" s="231"/>
      <c r="L101" s="231"/>
      <c r="M101" s="232"/>
      <c r="N101" s="134"/>
    </row>
    <row r="102" spans="1:14" s="132" customFormat="1" ht="21.75" customHeight="1">
      <c r="A102" s="202" t="str">
        <f>"Romano Golf League - "&amp;N106&amp;" - "&amp;N108&amp;" - "&amp;TEXT(N107,"MMM dd, yyyy")</f>
        <v>Romano Golf League - Week 3 - FRONT - Jul 05, 2006</v>
      </c>
      <c r="B102" s="203"/>
      <c r="C102" s="203"/>
      <c r="D102" s="203"/>
      <c r="E102" s="203"/>
      <c r="F102" s="203"/>
      <c r="G102" s="203"/>
      <c r="H102" s="203"/>
      <c r="I102" s="203"/>
      <c r="J102" s="203"/>
      <c r="K102" s="203"/>
      <c r="L102" s="203"/>
      <c r="M102" s="204"/>
      <c r="N102" s="134"/>
    </row>
    <row r="103" spans="1:14" s="132" customFormat="1" ht="21.75" customHeight="1">
      <c r="A103" s="205"/>
      <c r="B103" s="205"/>
      <c r="C103" s="205"/>
      <c r="D103" s="205"/>
      <c r="E103" s="205"/>
      <c r="F103" s="205"/>
      <c r="G103" s="205"/>
      <c r="H103" s="205"/>
      <c r="I103" s="205"/>
      <c r="J103" s="205"/>
      <c r="K103" s="205"/>
      <c r="L103" s="205"/>
      <c r="M103" s="205"/>
      <c r="N103" s="134"/>
    </row>
    <row r="104" spans="1:14" s="132" customFormat="1" ht="21.75" customHeight="1">
      <c r="A104" s="228" t="s">
        <v>10</v>
      </c>
      <c r="B104" s="228"/>
      <c r="C104" s="228"/>
      <c r="D104" s="77">
        <f>IF(LEFT($N$8)="F",1,IF(LEFT($N$8)="B",10,"ERROR"))</f>
        <v>1</v>
      </c>
      <c r="E104" s="77">
        <f>IF(LEFT($N$8)="F",2,IF(LEFT($N$8)="B",11,"ERROR"))</f>
        <v>2</v>
      </c>
      <c r="F104" s="77">
        <f>IF(LEFT($N$8)="F",3,IF(LEFT($N$8)="B",12,"ERROR"))</f>
        <v>3</v>
      </c>
      <c r="G104" s="77">
        <f>IF(LEFT($N$8)="F",4,IF(LEFT($N$8)="B",13,"ERROR"))</f>
        <v>4</v>
      </c>
      <c r="H104" s="77">
        <f>IF(LEFT($N$8)="F",5,IF(LEFT($N$8)="B",14,"ERROR"))</f>
        <v>5</v>
      </c>
      <c r="I104" s="77">
        <f>IF(LEFT($N$8)="F",6,IF(LEFT($N$8)="B",15,"ERROR"))</f>
        <v>6</v>
      </c>
      <c r="J104" s="77">
        <f>IF(LEFT($N$8)="F",7,IF(LEFT($N$8)="B",16,"ERROR"))</f>
        <v>7</v>
      </c>
      <c r="K104" s="77">
        <f>IF(LEFT($N$8)="F",8,IF(LEFT($N$8)="B",17,"ERROR"))</f>
        <v>8</v>
      </c>
      <c r="L104" s="77">
        <f>IF(LEFT($N$8)="F",9,IF(LEFT($N$8)="B",18,"ERROR"))</f>
        <v>9</v>
      </c>
      <c r="M104" s="77" t="str">
        <f>IF(LEFT($N$8)="F","OUT",IF(LEFT($N$8)="B","IN","ERROR"))</f>
        <v>OUT</v>
      </c>
      <c r="N104" s="134"/>
    </row>
    <row r="105" spans="1:14" s="132" customFormat="1" ht="21.75" customHeight="1">
      <c r="A105" s="229" t="s">
        <v>11</v>
      </c>
      <c r="B105" s="229"/>
      <c r="C105" s="229"/>
      <c r="D105" s="78">
        <f>IF(D104=1,460,IF(D104=10,345,"ERROR"))</f>
        <v>460</v>
      </c>
      <c r="E105" s="78">
        <f>IF(E104=2,275,IF(E104=11,220,"ERROR"))</f>
        <v>275</v>
      </c>
      <c r="F105" s="78">
        <f>IF(F104=3,525,IF(F104=12,330,"ERROR"))</f>
        <v>525</v>
      </c>
      <c r="G105" s="78">
        <f>IF(G104=4,295,IF(G104=13,435,"ERROR"))</f>
        <v>295</v>
      </c>
      <c r="H105" s="78">
        <f>IF(H104=5,345,IF(H104=14,145,"ERROR"))</f>
        <v>345</v>
      </c>
      <c r="I105" s="78">
        <f>IF(I104=6,175,IF(I104=15,315,"ERROR"))</f>
        <v>175</v>
      </c>
      <c r="J105" s="78">
        <f>IF(J104=7,405,IF(J104=16,130,"ERROR"))</f>
        <v>405</v>
      </c>
      <c r="K105" s="78">
        <f>IF(K104=8,145,IF(K104=17,300,"ERROR"))</f>
        <v>145</v>
      </c>
      <c r="L105" s="78">
        <f>IF(L104=9,320,IF(L104=18,340,"ERROR"))</f>
        <v>320</v>
      </c>
      <c r="M105" s="78">
        <f>SUM(D105:L105)</f>
        <v>2945</v>
      </c>
      <c r="N105" s="134"/>
    </row>
    <row r="106" spans="1:14" s="132" customFormat="1" ht="21.75" customHeight="1">
      <c r="A106" s="216" t="s">
        <v>17</v>
      </c>
      <c r="B106" s="216"/>
      <c r="C106" s="216"/>
      <c r="D106" s="78">
        <f>IF(D$4=1,5,IF(D$4=10,5,"ERROR"))</f>
        <v>5</v>
      </c>
      <c r="E106" s="78">
        <f>IF(E104=2,4,IF(E104=11,4,"ERROR"))</f>
        <v>4</v>
      </c>
      <c r="F106" s="78">
        <f>IF(F104=3,5,IF(F104=12,4,"ERROR"))</f>
        <v>5</v>
      </c>
      <c r="G106" s="78">
        <f>IF(G104=4,4,IF(G104=13,5,"ERROR"))</f>
        <v>4</v>
      </c>
      <c r="H106" s="78">
        <f>IF(H104=5,4,IF(H104=14,3,"ERROR"))</f>
        <v>4</v>
      </c>
      <c r="I106" s="78">
        <f>IF(I104=6,3,IF(I104=15,4,"ERROR"))</f>
        <v>3</v>
      </c>
      <c r="J106" s="78">
        <f>IF(J104=7,4,IF(J104=16,3,"ERROR"))</f>
        <v>4</v>
      </c>
      <c r="K106" s="78">
        <f>IF(K104=8,3,IF(K104=17,4,"ERROR"))</f>
        <v>3</v>
      </c>
      <c r="L106" s="78">
        <f>IF(L104=9,4,IF(L104=18,4,"ERROR"))</f>
        <v>4</v>
      </c>
      <c r="M106" s="78">
        <f>SUM(D106:L106)</f>
        <v>36</v>
      </c>
      <c r="N106" s="135" t="str">
        <f>$N$6</f>
        <v>Week 3</v>
      </c>
    </row>
    <row r="107" spans="1:14" s="132" customFormat="1" ht="21.75" customHeight="1">
      <c r="A107" s="225" t="s">
        <v>16</v>
      </c>
      <c r="B107" s="226"/>
      <c r="C107" s="226"/>
      <c r="D107" s="79">
        <f>IF(D$4=1,5,IF(D$4=10,6,"ERROR"))</f>
        <v>5</v>
      </c>
      <c r="E107" s="79">
        <f>IF(E104=2,7,IF(E104=11,10,"ERROR"))</f>
        <v>7</v>
      </c>
      <c r="F107" s="79">
        <f>IF(F104=3,3,IF(F104=12,8,"ERROR"))</f>
        <v>3</v>
      </c>
      <c r="G107" s="79">
        <f>IF(G104=4,9,IF(G104=13,4,"ERROR"))</f>
        <v>9</v>
      </c>
      <c r="H107" s="79">
        <f>IF(H104=5,11,IF(H104=14,16,"ERROR"))</f>
        <v>11</v>
      </c>
      <c r="I107" s="79">
        <f>IF(I104=6,17,IF(I104=15,12,"ERROR"))</f>
        <v>17</v>
      </c>
      <c r="J107" s="79">
        <f>IF(J104=7,1,IF(J104=16,18,"ERROR"))</f>
        <v>1</v>
      </c>
      <c r="K107" s="79">
        <f>IF(K104=8,15,IF(K104=17,14,"ERROR"))</f>
        <v>15</v>
      </c>
      <c r="L107" s="79">
        <f>IF(L104=9,13,IF(L104=18,2,"ERROR"))</f>
        <v>13</v>
      </c>
      <c r="M107" s="80"/>
      <c r="N107" s="136">
        <f>$N$7</f>
        <v>38903</v>
      </c>
    </row>
    <row r="108" spans="1:14" s="132" customFormat="1" ht="21.75" customHeight="1">
      <c r="A108" s="213" t="s">
        <v>12</v>
      </c>
      <c r="B108" s="213"/>
      <c r="C108" s="213"/>
      <c r="D108" s="75">
        <f>IF(D104=1,375,IF(D104=10,290,"ERROR"))</f>
        <v>375</v>
      </c>
      <c r="E108" s="75">
        <f>IF(E104=2,250,IF(E104=11,200,"ERROR"))</f>
        <v>250</v>
      </c>
      <c r="F108" s="75">
        <f>IF(F104=3,475,IF(F104=12,205,"ERROR"))</f>
        <v>475</v>
      </c>
      <c r="G108" s="75">
        <f>IF(G104=4,255,IF(G104=13,350,"ERROR"))</f>
        <v>255</v>
      </c>
      <c r="H108" s="75">
        <f>IF(H104=5,325,IF(H104=14,140,"ERROR"))</f>
        <v>325</v>
      </c>
      <c r="I108" s="75">
        <f>IF(I104=6,155,IF(I104=15,290,"ERROR"))</f>
        <v>155</v>
      </c>
      <c r="J108" s="75">
        <f>IF(J104=7,375,IF(J104=16,125,"ERROR"))</f>
        <v>375</v>
      </c>
      <c r="K108" s="75">
        <f>IF(K104=8,130,IF(K104=17,255,"ERROR"))</f>
        <v>130</v>
      </c>
      <c r="L108" s="75">
        <f>IF(L104=9,290,IF(L104=18,280,"ERROR"))</f>
        <v>290</v>
      </c>
      <c r="M108" s="76">
        <f>SUM(D108:L108)</f>
        <v>2630</v>
      </c>
      <c r="N108" s="137" t="str">
        <f>$N$8</f>
        <v>FRONT</v>
      </c>
    </row>
    <row r="109" spans="1:14" s="132" customFormat="1" ht="21.75" customHeight="1">
      <c r="A109" s="216" t="s">
        <v>15</v>
      </c>
      <c r="B109" s="216"/>
      <c r="C109" s="216"/>
      <c r="D109" s="78">
        <f>IF(D$4=1,5,IF(D$4=10,4,"ERROR"))</f>
        <v>5</v>
      </c>
      <c r="E109" s="78">
        <f>IF(E$4=2,4,IF(E$4=11,4,"ERROR"))</f>
        <v>4</v>
      </c>
      <c r="F109" s="78">
        <f>IF(F$4=3,5,IF(F$4=12,4,"ERROR"))</f>
        <v>5</v>
      </c>
      <c r="G109" s="78">
        <f>IF(G$4=4,4,IF(G$4=13,5,"ERROR"))</f>
        <v>4</v>
      </c>
      <c r="H109" s="78">
        <f>IF(H$4=5,4,IF(H$4=14,3,"ERROR"))</f>
        <v>4</v>
      </c>
      <c r="I109" s="78">
        <f>IF(I$4=6,3,IF(I$4=15,4,"ERROR"))</f>
        <v>3</v>
      </c>
      <c r="J109" s="78">
        <f>IF(J$4=7,5,IF(J$4=16,3,"ERROR"))</f>
        <v>5</v>
      </c>
      <c r="K109" s="78">
        <f>IF(K$4=8,3,IF(K$4=17,4,"ERROR"))</f>
        <v>3</v>
      </c>
      <c r="L109" s="78">
        <f>IF(L$4=9,4,IF(L$4=18,4,"ERROR"))</f>
        <v>4</v>
      </c>
      <c r="M109" s="78">
        <f>SUM(D109:L109)</f>
        <v>37</v>
      </c>
      <c r="N109" s="138">
        <v>0.198611111111111</v>
      </c>
    </row>
    <row r="110" spans="1:14" s="132" customFormat="1" ht="21.75" customHeight="1">
      <c r="A110" s="81" t="s">
        <v>0</v>
      </c>
      <c r="B110" s="81" t="s">
        <v>1</v>
      </c>
      <c r="C110" s="82" t="s">
        <v>13</v>
      </c>
      <c r="D110" s="83">
        <f>IF(D$4=1,5,IF(D$4=10,4,"ERROR"))</f>
        <v>5</v>
      </c>
      <c r="E110" s="83">
        <f>IF(E$4=2,7,IF(E$4=11,2,"ERROR"))</f>
        <v>7</v>
      </c>
      <c r="F110" s="83">
        <f>IF(F$4=3,3,IF(F$4=12,8,"ERROR"))</f>
        <v>3</v>
      </c>
      <c r="G110" s="83">
        <f>IF(G$4=4,9,IF(G$4=13,6,"ERROR"))</f>
        <v>9</v>
      </c>
      <c r="H110" s="83">
        <f>IF(H$4=5,11,IF(H$4=14,16,"ERROR"))</f>
        <v>11</v>
      </c>
      <c r="I110" s="83">
        <f>IF(I$4=6,17,IF(I$4=15,12,"ERROR"))</f>
        <v>17</v>
      </c>
      <c r="J110" s="83">
        <f>IF(J$4=7,1,IF(J$4=16,18,"ERROR"))</f>
        <v>1</v>
      </c>
      <c r="K110" s="83">
        <f>IF(K$4=8,15,IF(K$4=17,14,"ERROR"))</f>
        <v>15</v>
      </c>
      <c r="L110" s="83">
        <f>IF(L$4=9,13,IF(L$4=18,10,"ERROR"))</f>
        <v>13</v>
      </c>
      <c r="M110" s="84"/>
      <c r="N110" s="137" t="str">
        <f>VLOOKUP(N109,'SCHEDULE &amp; POINTS'!$B$8:$I$14,RIGHT($N$6)+1,FALSE)</f>
        <v>5 v 8</v>
      </c>
    </row>
    <row r="111" spans="1:13" ht="12" customHeight="1">
      <c r="A111" s="27"/>
      <c r="B111" s="73"/>
      <c r="C111" s="27"/>
      <c r="D111" s="38">
        <f>IF($B125-9&gt;=IF(VLOOKUP($B112,'SCORES &amp; HANDICAP CALCULATOR'!$B$3:$E$67,3,FALSE)="F",D$24,D$23),2,IF($B125&gt;=IF(VLOOKUP($B112,'SCORES &amp; HANDICAP CALCULATOR'!$B$3:$E$67,3,FALSE)="F",D$24,D$23),1,0))</f>
        <v>0</v>
      </c>
      <c r="E111" s="38">
        <f>IF($B125-9&gt;=IF(VLOOKUP($B112,'SCORES &amp; HANDICAP CALCULATOR'!$B$3:$E$67,3,FALSE)="F",E$24,E$23),2,IF($B125&gt;=IF(VLOOKUP($B112,'SCORES &amp; HANDICAP CALCULATOR'!$B$3:$E$67,3,FALSE)="F",E$24,E$23),1,0))</f>
        <v>0</v>
      </c>
      <c r="F111" s="38">
        <f>IF($B125-9&gt;=IF(VLOOKUP($B112,'SCORES &amp; HANDICAP CALCULATOR'!$B$3:$E$67,3,FALSE)="F",F$24,F$23),2,IF($B125&gt;=IF(VLOOKUP($B112,'SCORES &amp; HANDICAP CALCULATOR'!$B$3:$E$67,3,FALSE)="F",F$24,F$23),1,0))</f>
        <v>0</v>
      </c>
      <c r="G111" s="38">
        <f>IF($B125-9&gt;=IF(VLOOKUP($B112,'SCORES &amp; HANDICAP CALCULATOR'!$B$3:$E$67,3,FALSE)="F",G$24,G$23),2,IF($B125&gt;=IF(VLOOKUP($B112,'SCORES &amp; HANDICAP CALCULATOR'!$B$3:$E$67,3,FALSE)="F",G$24,G$23),1,0))</f>
        <v>0</v>
      </c>
      <c r="H111" s="38">
        <f>IF($B125-9&gt;=IF(VLOOKUP($B112,'SCORES &amp; HANDICAP CALCULATOR'!$B$3:$E$67,3,FALSE)="F",H$24,H$23),2,IF($B125&gt;=IF(VLOOKUP($B112,'SCORES &amp; HANDICAP CALCULATOR'!$B$3:$E$67,3,FALSE)="F",H$24,H$23),1,0))</f>
        <v>0</v>
      </c>
      <c r="I111" s="38">
        <f>IF($B125-9&gt;=IF(VLOOKUP($B112,'SCORES &amp; HANDICAP CALCULATOR'!$B$3:$E$67,3,FALSE)="F",I$24,I$23),2,IF($B125&gt;=IF(VLOOKUP($B112,'SCORES &amp; HANDICAP CALCULATOR'!$B$3:$E$67,3,FALSE)="F",I$24,I$23),1,0))</f>
        <v>0</v>
      </c>
      <c r="J111" s="38">
        <f>IF($B125-9&gt;=IF(VLOOKUP($B112,'SCORES &amp; HANDICAP CALCULATOR'!$B$3:$E$67,3,FALSE)="F",J$24,J$23),2,IF($B125&gt;=IF(VLOOKUP($B112,'SCORES &amp; HANDICAP CALCULATOR'!$B$3:$E$67,3,FALSE)="F",J$24,J$23),1,0))</f>
        <v>1</v>
      </c>
      <c r="K111" s="38">
        <f>IF($B125-9&gt;=IF(VLOOKUP($B112,'SCORES &amp; HANDICAP CALCULATOR'!$B$3:$E$67,3,FALSE)="F",K$24,K$23),2,IF($B125&gt;=IF(VLOOKUP($B112,'SCORES &amp; HANDICAP CALCULATOR'!$B$3:$E$67,3,FALSE)="F",K$24,K$23),1,0))</f>
        <v>0</v>
      </c>
      <c r="L111" s="38">
        <f>IF($B125-9&gt;=IF(VLOOKUP($B112,'SCORES &amp; HANDICAP CALCULATOR'!$B$3:$E$67,3,FALSE)="F",L$24,L$23),2,IF($B125&gt;=IF(VLOOKUP($B112,'SCORES &amp; HANDICAP CALCULATOR'!$B$3:$E$67,3,FALSE)="F",L$24,L$23),1,0))</f>
        <v>0</v>
      </c>
      <c r="M111" s="38">
        <f>SUM(D111:L111)</f>
        <v>1</v>
      </c>
    </row>
    <row r="112" spans="1:14" ht="34.5" customHeight="1">
      <c r="A112" s="54">
        <f>VLOOKUP(B112,'SCORES &amp; HANDICAP CALCULATOR'!$B$3:$E$67,4,FALSE)</f>
        <v>5</v>
      </c>
      <c r="B112" s="54" t="str">
        <f>N112&amp;"A"</f>
        <v>5A</v>
      </c>
      <c r="C112" s="54" t="str">
        <f>VLOOKUP(B112,'SCORES &amp; HANDICAP CALCULATOR'!$B$3:$E$50,2,FALSE)</f>
        <v>Gary Leavenworth</v>
      </c>
      <c r="D112" s="29"/>
      <c r="E112" s="30"/>
      <c r="F112" s="30"/>
      <c r="G112" s="30"/>
      <c r="H112" s="30"/>
      <c r="I112" s="30"/>
      <c r="J112" s="30"/>
      <c r="K112" s="30"/>
      <c r="L112" s="30"/>
      <c r="M112" s="30"/>
      <c r="N112" s="9" t="str">
        <f>LEFT(SUBSTITUTE(N110," v ",","),FIND(",",SUBSTITUTE(N110," v ",","))-1)</f>
        <v>5</v>
      </c>
    </row>
    <row r="113" spans="1:13" ht="12" customHeight="1">
      <c r="A113" s="27"/>
      <c r="B113" s="70"/>
      <c r="C113" s="27"/>
      <c r="D113" s="38">
        <f aca="true" t="shared" si="4" ref="D113:L113">IF($B126-9&gt;D$23,2,IF($B126-9=D$23,2,IF($B126=D$23,1,IF($B126&gt;D$23,1,0))))</f>
        <v>2</v>
      </c>
      <c r="E113" s="38">
        <f t="shared" si="4"/>
        <v>2</v>
      </c>
      <c r="F113" s="38">
        <f t="shared" si="4"/>
        <v>2</v>
      </c>
      <c r="G113" s="38">
        <f t="shared" si="4"/>
        <v>1</v>
      </c>
      <c r="H113" s="38">
        <f t="shared" si="4"/>
        <v>1</v>
      </c>
      <c r="I113" s="38">
        <f t="shared" si="4"/>
        <v>1</v>
      </c>
      <c r="J113" s="38">
        <f t="shared" si="4"/>
        <v>2</v>
      </c>
      <c r="K113" s="38">
        <f t="shared" si="4"/>
        <v>1</v>
      </c>
      <c r="L113" s="38">
        <f t="shared" si="4"/>
        <v>1</v>
      </c>
      <c r="M113" s="38">
        <f>SUM(D113:L113)</f>
        <v>13</v>
      </c>
    </row>
    <row r="114" spans="1:13" ht="34.5" customHeight="1">
      <c r="A114" s="54">
        <f>VLOOKUP(B114,'SCORES &amp; HANDICAP CALCULATOR'!$B$3:$E$67,4,FALSE)</f>
        <v>17</v>
      </c>
      <c r="B114" s="54" t="str">
        <f>N112&amp;"B"</f>
        <v>5B</v>
      </c>
      <c r="C114" s="54" t="str">
        <f>VLOOKUP(B114,'SCORES &amp; HANDICAP CALCULATOR'!$B$3:$E$50,2,FALSE)</f>
        <v>Patty Leavenworth</v>
      </c>
      <c r="D114" s="29"/>
      <c r="E114" s="30"/>
      <c r="F114" s="30"/>
      <c r="G114" s="30"/>
      <c r="H114" s="30"/>
      <c r="I114" s="30"/>
      <c r="J114" s="30"/>
      <c r="K114" s="30"/>
      <c r="L114" s="30"/>
      <c r="M114" s="30"/>
    </row>
    <row r="115" spans="1:13" ht="21.75" customHeight="1">
      <c r="A115" s="31"/>
      <c r="B115" s="71"/>
      <c r="C115" s="217" t="s">
        <v>87</v>
      </c>
      <c r="D115" s="32"/>
      <c r="E115" s="32"/>
      <c r="F115" s="32"/>
      <c r="G115" s="32"/>
      <c r="H115" s="32"/>
      <c r="I115" s="32"/>
      <c r="J115" s="32"/>
      <c r="K115" s="32"/>
      <c r="L115" s="32"/>
      <c r="M115" s="61"/>
    </row>
    <row r="116" spans="1:13" ht="21.75" customHeight="1">
      <c r="A116" s="33"/>
      <c r="B116" s="72"/>
      <c r="C116" s="218"/>
      <c r="D116" s="32"/>
      <c r="E116" s="32"/>
      <c r="F116" s="32"/>
      <c r="G116" s="32"/>
      <c r="H116" s="32"/>
      <c r="I116" s="32"/>
      <c r="J116" s="32"/>
      <c r="K116" s="32"/>
      <c r="L116" s="32"/>
      <c r="M116" s="61"/>
    </row>
    <row r="117" spans="1:13" ht="12" customHeight="1">
      <c r="A117" s="27"/>
      <c r="B117" s="70"/>
      <c r="C117" s="27"/>
      <c r="D117" s="38">
        <f>IF($B128-9&gt;=IF(VLOOKUP($B118,'SCORES &amp; HANDICAP CALCULATOR'!$B$3:$E$67,3,FALSE)="F",D$24,D$23),2,IF($B128&gt;=IF(VLOOKUP($B118,'SCORES &amp; HANDICAP CALCULATOR'!$B$3:$E$67,3,FALSE)="F",D$24,D$23),1,0))</f>
        <v>0</v>
      </c>
      <c r="E117" s="38">
        <f>IF($B128-9&gt;=IF(VLOOKUP($B118,'SCORES &amp; HANDICAP CALCULATOR'!$B$3:$E$67,3,FALSE)="F",E$24,E$23),2,IF($B128&gt;=IF(VLOOKUP($B118,'SCORES &amp; HANDICAP CALCULATOR'!$B$3:$E$67,3,FALSE)="F",E$24,E$23),1,0))</f>
        <v>0</v>
      </c>
      <c r="F117" s="38">
        <f>IF($B128-9&gt;=IF(VLOOKUP($B118,'SCORES &amp; HANDICAP CALCULATOR'!$B$3:$E$67,3,FALSE)="F",F$24,F$23),2,IF($B128&gt;=IF(VLOOKUP($B118,'SCORES &amp; HANDICAP CALCULATOR'!$B$3:$E$67,3,FALSE)="F",F$24,F$23),1,0))</f>
        <v>0</v>
      </c>
      <c r="G117" s="38">
        <f>IF($B128-9&gt;=IF(VLOOKUP($B118,'SCORES &amp; HANDICAP CALCULATOR'!$B$3:$E$67,3,FALSE)="F",G$24,G$23),2,IF($B128&gt;=IF(VLOOKUP($B118,'SCORES &amp; HANDICAP CALCULATOR'!$B$3:$E$67,3,FALSE)="F",G$24,G$23),1,0))</f>
        <v>0</v>
      </c>
      <c r="H117" s="38">
        <f>IF($B128-9&gt;=IF(VLOOKUP($B118,'SCORES &amp; HANDICAP CALCULATOR'!$B$3:$E$67,3,FALSE)="F",H$24,H$23),2,IF($B128&gt;=IF(VLOOKUP($B118,'SCORES &amp; HANDICAP CALCULATOR'!$B$3:$E$67,3,FALSE)="F",H$24,H$23),1,0))</f>
        <v>0</v>
      </c>
      <c r="I117" s="38">
        <f>IF($B128-9&gt;=IF(VLOOKUP($B118,'SCORES &amp; HANDICAP CALCULATOR'!$B$3:$E$67,3,FALSE)="F",I$24,I$23),2,IF($B128&gt;=IF(VLOOKUP($B118,'SCORES &amp; HANDICAP CALCULATOR'!$B$3:$E$67,3,FALSE)="F",I$24,I$23),1,0))</f>
        <v>0</v>
      </c>
      <c r="J117" s="38">
        <f>IF($B128-9&gt;=IF(VLOOKUP($B118,'SCORES &amp; HANDICAP CALCULATOR'!$B$3:$E$67,3,FALSE)="F",J$24,J$23),2,IF($B128&gt;=IF(VLOOKUP($B118,'SCORES &amp; HANDICAP CALCULATOR'!$B$3:$E$67,3,FALSE)="F",J$24,J$23),1,0))</f>
        <v>0</v>
      </c>
      <c r="K117" s="38">
        <f>IF($B128-9&gt;=IF(VLOOKUP($B118,'SCORES &amp; HANDICAP CALCULATOR'!$B$3:$E$67,3,FALSE)="F",K$24,K$23),2,IF($B128&gt;=IF(VLOOKUP($B118,'SCORES &amp; HANDICAP CALCULATOR'!$B$3:$E$67,3,FALSE)="F",K$24,K$23),1,0))</f>
        <v>0</v>
      </c>
      <c r="L117" s="38">
        <f>IF($B128-9&gt;=IF(VLOOKUP($B118,'SCORES &amp; HANDICAP CALCULATOR'!$B$3:$E$67,3,FALSE)="F",L$24,L$23),2,IF($B128&gt;=IF(VLOOKUP($B118,'SCORES &amp; HANDICAP CALCULATOR'!$B$3:$E$67,3,FALSE)="F",L$24,L$23),1,0))</f>
        <v>0</v>
      </c>
      <c r="M117" s="38">
        <f>SUM(D117:L117)</f>
        <v>0</v>
      </c>
    </row>
    <row r="118" spans="1:14" ht="34.5" customHeight="1">
      <c r="A118" s="54">
        <f>VLOOKUP(B118,'SCORES &amp; HANDICAP CALCULATOR'!$B$3:$E$67,4,FALSE)</f>
        <v>4</v>
      </c>
      <c r="B118" s="54" t="str">
        <f>N118&amp;"A"</f>
        <v>8A</v>
      </c>
      <c r="C118" s="54" t="str">
        <f>VLOOKUP(B118,'SCORES &amp; HANDICAP CALCULATOR'!$B$3:$E$50,2,FALSE)</f>
        <v>Paul Fontaine</v>
      </c>
      <c r="D118" s="29"/>
      <c r="E118" s="30"/>
      <c r="F118" s="30"/>
      <c r="G118" s="30"/>
      <c r="H118" s="30"/>
      <c r="I118" s="30"/>
      <c r="J118" s="30"/>
      <c r="K118" s="30"/>
      <c r="L118" s="30"/>
      <c r="M118" s="30"/>
      <c r="N118" s="9" t="str">
        <f>RIGHT(SUBSTITUTE(N110," v ",","),LEN(SUBSTITUTE(N110," v ",","))-FIND(",",SUBSTITUTE(N110," v ",",")))</f>
        <v>8</v>
      </c>
    </row>
    <row r="119" spans="1:13" ht="12" customHeight="1">
      <c r="A119" s="27"/>
      <c r="B119" s="70"/>
      <c r="C119" s="27"/>
      <c r="D119" s="38">
        <f>IF($B129-9&gt;=IF(VLOOKUP($B120,'SCORES &amp; HANDICAP CALCULATOR'!$B$3:$E$67,3,FALSE)="F",D$24,D$23),2,IF($B129&gt;=IF(VLOOKUP($B120,'SCORES &amp; HANDICAP CALCULATOR'!$B$3:$E$67,3,FALSE)="F",D$24,D$23),1,0))</f>
        <v>0</v>
      </c>
      <c r="E119" s="38">
        <f>IF($B129-9&gt;=IF(VLOOKUP($B120,'SCORES &amp; HANDICAP CALCULATOR'!$B$3:$E$67,3,FALSE)="F",E$24,E$23),2,IF($B129&gt;=IF(VLOOKUP($B120,'SCORES &amp; HANDICAP CALCULATOR'!$B$3:$E$67,3,FALSE)="F",E$24,E$23),1,0))</f>
        <v>0</v>
      </c>
      <c r="F119" s="38">
        <f>IF($B129-9&gt;=IF(VLOOKUP($B120,'SCORES &amp; HANDICAP CALCULATOR'!$B$3:$E$67,3,FALSE)="F",F$24,F$23),2,IF($B129&gt;=IF(VLOOKUP($B120,'SCORES &amp; HANDICAP CALCULATOR'!$B$3:$E$67,3,FALSE)="F",F$24,F$23),1,0))</f>
        <v>1</v>
      </c>
      <c r="G119" s="38">
        <f>IF($B129-9&gt;=IF(VLOOKUP($B120,'SCORES &amp; HANDICAP CALCULATOR'!$B$3:$E$67,3,FALSE)="F",G$24,G$23),2,IF($B129&gt;=IF(VLOOKUP($B120,'SCORES &amp; HANDICAP CALCULATOR'!$B$3:$E$67,3,FALSE)="F",G$24,G$23),1,0))</f>
        <v>0</v>
      </c>
      <c r="H119" s="38">
        <f>IF($B129-9&gt;=IF(VLOOKUP($B120,'SCORES &amp; HANDICAP CALCULATOR'!$B$3:$E$67,3,FALSE)="F",H$24,H$23),2,IF($B129&gt;=IF(VLOOKUP($B120,'SCORES &amp; HANDICAP CALCULATOR'!$B$3:$E$67,3,FALSE)="F",H$24,H$23),1,0))</f>
        <v>0</v>
      </c>
      <c r="I119" s="38">
        <f>IF($B129-9&gt;=IF(VLOOKUP($B120,'SCORES &amp; HANDICAP CALCULATOR'!$B$3:$E$67,3,FALSE)="F",I$24,I$23),2,IF($B129&gt;=IF(VLOOKUP($B120,'SCORES &amp; HANDICAP CALCULATOR'!$B$3:$E$67,3,FALSE)="F",I$24,I$23),1,0))</f>
        <v>0</v>
      </c>
      <c r="J119" s="38">
        <f>IF($B129-9&gt;=IF(VLOOKUP($B120,'SCORES &amp; HANDICAP CALCULATOR'!$B$3:$E$67,3,FALSE)="F",J$24,J$23),2,IF($B129&gt;=IF(VLOOKUP($B120,'SCORES &amp; HANDICAP CALCULATOR'!$B$3:$E$67,3,FALSE)="F",J$24,J$23),1,0))</f>
        <v>1</v>
      </c>
      <c r="K119" s="38">
        <f>IF($B129-9&gt;=IF(VLOOKUP($B120,'SCORES &amp; HANDICAP CALCULATOR'!$B$3:$E$67,3,FALSE)="F",K$24,K$23),2,IF($B129&gt;=IF(VLOOKUP($B120,'SCORES &amp; HANDICAP CALCULATOR'!$B$3:$E$67,3,FALSE)="F",K$24,K$23),1,0))</f>
        <v>0</v>
      </c>
      <c r="L119" s="38">
        <f>IF($B129-9&gt;=IF(VLOOKUP($B120,'SCORES &amp; HANDICAP CALCULATOR'!$B$3:$E$67,3,FALSE)="F",L$24,L$23),2,IF($B129&gt;=IF(VLOOKUP($B120,'SCORES &amp; HANDICAP CALCULATOR'!$B$3:$E$67,3,FALSE)="F",L$24,L$23),1,0))</f>
        <v>0</v>
      </c>
      <c r="M119" s="38">
        <f>SUM(D119:L119)</f>
        <v>2</v>
      </c>
    </row>
    <row r="120" spans="1:13" ht="34.5" customHeight="1">
      <c r="A120" s="54">
        <f>VLOOKUP(B120,'SCORES &amp; HANDICAP CALCULATOR'!$B$3:$E$67,4,FALSE)</f>
        <v>6</v>
      </c>
      <c r="B120" s="54" t="str">
        <f>N118&amp;"B"</f>
        <v>8B</v>
      </c>
      <c r="C120" s="54" t="str">
        <f>VLOOKUP(B120,'SCORES &amp; HANDICAP CALCULATOR'!$B$3:$E$50,2,FALSE)</f>
        <v>Yogi DiPasquale</v>
      </c>
      <c r="D120" s="29"/>
      <c r="E120" s="30"/>
      <c r="F120" s="30"/>
      <c r="G120" s="30"/>
      <c r="H120" s="30"/>
      <c r="I120" s="30"/>
      <c r="J120" s="30"/>
      <c r="K120" s="30"/>
      <c r="L120" s="30"/>
      <c r="M120" s="30"/>
    </row>
    <row r="121" spans="1:13" ht="18">
      <c r="A121" s="34"/>
      <c r="B121" s="34"/>
      <c r="C121" s="34"/>
      <c r="D121" s="35"/>
      <c r="E121" s="35"/>
      <c r="F121" s="35"/>
      <c r="G121" s="35"/>
      <c r="H121" s="35"/>
      <c r="I121" s="35"/>
      <c r="J121" s="35"/>
      <c r="K121" s="35"/>
      <c r="L121" s="35"/>
      <c r="M121" s="36"/>
    </row>
    <row r="122" spans="1:13" ht="18">
      <c r="A122" s="214" t="str">
        <f>CONCATENATE("TEE TIME: ",TEXT(N109,"h:mm")," PM")</f>
        <v>TEE TIME: 4:46 PM</v>
      </c>
      <c r="B122" s="215"/>
      <c r="C122" s="215"/>
      <c r="D122" s="215"/>
      <c r="E122" s="215"/>
      <c r="F122" s="215"/>
      <c r="G122" s="215"/>
      <c r="H122" s="215"/>
      <c r="I122" s="215"/>
      <c r="J122" s="215"/>
      <c r="K122" s="215"/>
      <c r="L122" s="215"/>
      <c r="M122" s="215"/>
    </row>
    <row r="123" spans="1:13" ht="18" hidden="1">
      <c r="A123" s="121"/>
      <c r="B123" s="121"/>
      <c r="C123" s="122" t="s">
        <v>88</v>
      </c>
      <c r="D123" s="121">
        <f>D$23</f>
        <v>3</v>
      </c>
      <c r="E123" s="121">
        <f aca="true" t="shared" si="5" ref="E123:L123">E$23</f>
        <v>4</v>
      </c>
      <c r="F123" s="121">
        <f t="shared" si="5"/>
        <v>2</v>
      </c>
      <c r="G123" s="121">
        <f t="shared" si="5"/>
        <v>5</v>
      </c>
      <c r="H123" s="121">
        <f t="shared" si="5"/>
        <v>6</v>
      </c>
      <c r="I123" s="121">
        <f t="shared" si="5"/>
        <v>9</v>
      </c>
      <c r="J123" s="121">
        <f t="shared" si="5"/>
        <v>1</v>
      </c>
      <c r="K123" s="121">
        <f t="shared" si="5"/>
        <v>8</v>
      </c>
      <c r="L123" s="121">
        <f t="shared" si="5"/>
        <v>7</v>
      </c>
      <c r="M123" s="28"/>
    </row>
    <row r="124" spans="1:13" ht="18" hidden="1">
      <c r="A124" s="121"/>
      <c r="B124" s="121"/>
      <c r="C124" s="122" t="s">
        <v>89</v>
      </c>
      <c r="D124" s="121">
        <f>D$24</f>
        <v>3</v>
      </c>
      <c r="E124" s="121">
        <f aca="true" t="shared" si="6" ref="E124:L124">E$24</f>
        <v>4</v>
      </c>
      <c r="F124" s="121">
        <f t="shared" si="6"/>
        <v>2</v>
      </c>
      <c r="G124" s="121">
        <f t="shared" si="6"/>
        <v>5</v>
      </c>
      <c r="H124" s="121">
        <f t="shared" si="6"/>
        <v>6</v>
      </c>
      <c r="I124" s="121">
        <f t="shared" si="6"/>
        <v>9</v>
      </c>
      <c r="J124" s="121">
        <f t="shared" si="6"/>
        <v>1</v>
      </c>
      <c r="K124" s="121">
        <f t="shared" si="6"/>
        <v>8</v>
      </c>
      <c r="L124" s="121">
        <f t="shared" si="6"/>
        <v>7</v>
      </c>
      <c r="M124" s="28"/>
    </row>
    <row r="125" spans="1:13" ht="18" hidden="1">
      <c r="A125" s="121">
        <f>MIN(A112:A120)</f>
        <v>4</v>
      </c>
      <c r="B125" s="121">
        <f>A112-A125</f>
        <v>1</v>
      </c>
      <c r="C125" s="121"/>
      <c r="D125" s="121"/>
      <c r="E125" s="121"/>
      <c r="F125" s="121"/>
      <c r="G125" s="121"/>
      <c r="H125" s="121"/>
      <c r="I125" s="121"/>
      <c r="J125" s="121"/>
      <c r="K125" s="121"/>
      <c r="L125" s="121"/>
      <c r="M125" s="28"/>
    </row>
    <row r="126" spans="1:13" ht="18" hidden="1">
      <c r="A126" s="121"/>
      <c r="B126" s="121">
        <f>A114-A125</f>
        <v>13</v>
      </c>
      <c r="C126" s="121"/>
      <c r="D126" s="121"/>
      <c r="E126" s="121"/>
      <c r="F126" s="121"/>
      <c r="G126" s="121"/>
      <c r="H126" s="121"/>
      <c r="I126" s="121"/>
      <c r="J126" s="121"/>
      <c r="K126" s="121"/>
      <c r="L126" s="121"/>
      <c r="M126" s="28"/>
    </row>
    <row r="127" spans="1:13" ht="18" hidden="1">
      <c r="A127" s="121"/>
      <c r="B127" s="121"/>
      <c r="C127" s="121"/>
      <c r="D127" s="121"/>
      <c r="E127" s="121"/>
      <c r="F127" s="121"/>
      <c r="G127" s="121"/>
      <c r="H127" s="121"/>
      <c r="I127" s="121"/>
      <c r="J127" s="121"/>
      <c r="K127" s="121"/>
      <c r="L127" s="121"/>
      <c r="M127" s="28"/>
    </row>
    <row r="128" spans="1:13" ht="18" hidden="1">
      <c r="A128" s="121"/>
      <c r="B128" s="121">
        <f>A118-A125</f>
        <v>0</v>
      </c>
      <c r="C128" s="121"/>
      <c r="D128" s="121"/>
      <c r="E128" s="121"/>
      <c r="F128" s="121"/>
      <c r="G128" s="121"/>
      <c r="H128" s="121"/>
      <c r="I128" s="121"/>
      <c r="J128" s="121"/>
      <c r="K128" s="121"/>
      <c r="L128" s="121"/>
      <c r="M128" s="28"/>
    </row>
    <row r="129" spans="1:13" ht="18" hidden="1">
      <c r="A129" s="121"/>
      <c r="B129" s="121">
        <f>A120-A125</f>
        <v>2</v>
      </c>
      <c r="C129" s="121"/>
      <c r="D129" s="121"/>
      <c r="E129" s="121"/>
      <c r="F129" s="121"/>
      <c r="G129" s="121"/>
      <c r="H129" s="121"/>
      <c r="I129" s="121"/>
      <c r="J129" s="121"/>
      <c r="K129" s="121"/>
      <c r="L129" s="121"/>
      <c r="M129" s="28"/>
    </row>
    <row r="130" spans="1:13" ht="21.75" customHeight="1">
      <c r="A130" s="28"/>
      <c r="B130" s="28"/>
      <c r="C130" s="28"/>
      <c r="D130" s="28"/>
      <c r="E130" s="28"/>
      <c r="F130" s="28"/>
      <c r="G130" s="28"/>
      <c r="H130" s="28"/>
      <c r="I130" s="28"/>
      <c r="J130" s="28"/>
      <c r="K130" s="28"/>
      <c r="L130" s="28"/>
      <c r="M130" s="28"/>
    </row>
    <row r="131" spans="1:13" ht="21.75" customHeight="1">
      <c r="A131" s="28"/>
      <c r="B131" s="28"/>
      <c r="C131" s="28"/>
      <c r="D131" s="28"/>
      <c r="E131" s="28"/>
      <c r="F131" s="28"/>
      <c r="G131" s="28"/>
      <c r="H131" s="28"/>
      <c r="I131" s="28"/>
      <c r="J131" s="28"/>
      <c r="K131" s="28"/>
      <c r="L131" s="28"/>
      <c r="M131" s="28"/>
    </row>
    <row r="132" spans="1:13" ht="21.75" customHeight="1">
      <c r="A132" s="212" t="str">
        <f>A32</f>
        <v>Standings - Second Half</v>
      </c>
      <c r="B132" s="210"/>
      <c r="C132" s="210"/>
      <c r="D132" s="210"/>
      <c r="E132" s="210"/>
      <c r="F132" s="211"/>
      <c r="G132" s="59"/>
      <c r="H132" s="28"/>
      <c r="I132" s="28"/>
      <c r="J132" s="28"/>
      <c r="K132" s="28"/>
      <c r="L132" s="28"/>
      <c r="M132" s="28"/>
    </row>
    <row r="133" spans="1:13" ht="21.75" customHeight="1">
      <c r="A133" s="28"/>
      <c r="B133" s="28"/>
      <c r="C133" s="28"/>
      <c r="D133" s="28"/>
      <c r="E133" s="28"/>
      <c r="F133" s="28"/>
      <c r="G133" s="28"/>
      <c r="H133" s="28"/>
      <c r="I133" s="28"/>
      <c r="J133" s="28"/>
      <c r="K133" s="28"/>
      <c r="L133" s="28"/>
      <c r="M133" s="28"/>
    </row>
    <row r="134" spans="1:13" ht="21.75" customHeight="1">
      <c r="A134" s="125" t="s">
        <v>86</v>
      </c>
      <c r="B134" s="209" t="s">
        <v>61</v>
      </c>
      <c r="C134" s="210"/>
      <c r="D134" s="210"/>
      <c r="E134" s="211"/>
      <c r="F134" s="128" t="s">
        <v>62</v>
      </c>
      <c r="G134" s="28"/>
      <c r="H134" s="28"/>
      <c r="I134" s="28"/>
      <c r="J134" s="28"/>
      <c r="K134" s="28"/>
      <c r="L134" s="28"/>
      <c r="M134" s="28"/>
    </row>
    <row r="135" spans="1:13" ht="21.75" customHeight="1">
      <c r="A135" s="129">
        <f>A$35</f>
        <v>1</v>
      </c>
      <c r="B135" s="130" t="str">
        <f>B$35</f>
        <v>09  Doug Cormier/Joe Pearson</v>
      </c>
      <c r="C135" s="126"/>
      <c r="D135" s="126"/>
      <c r="E135" s="127"/>
      <c r="F135" s="131">
        <f>F$35</f>
        <v>35</v>
      </c>
      <c r="G135" s="52"/>
      <c r="H135" s="52"/>
      <c r="I135" s="28"/>
      <c r="J135" s="28"/>
      <c r="K135" s="28"/>
      <c r="L135" s="28"/>
      <c r="M135" s="28"/>
    </row>
    <row r="136" spans="1:13" ht="21.75" customHeight="1">
      <c r="A136" s="129">
        <f>A$36</f>
        <v>2</v>
      </c>
      <c r="B136" s="130" t="str">
        <f>B$36</f>
        <v>01  Gary Bittner/Mike Dauphinais</v>
      </c>
      <c r="C136" s="126"/>
      <c r="D136" s="126"/>
      <c r="E136" s="127"/>
      <c r="F136" s="131">
        <f>F$36</f>
        <v>32</v>
      </c>
      <c r="G136" s="52"/>
      <c r="H136" s="52"/>
      <c r="I136" s="28"/>
      <c r="J136" s="28"/>
      <c r="K136" s="28"/>
      <c r="L136" s="28"/>
      <c r="M136" s="28"/>
    </row>
    <row r="137" spans="1:13" ht="21.75" customHeight="1">
      <c r="A137" s="129">
        <f>A$37</f>
        <v>3</v>
      </c>
      <c r="B137" s="130" t="str">
        <f>B$37</f>
        <v>11  Walter Drake/John Cassin</v>
      </c>
      <c r="C137" s="126"/>
      <c r="D137" s="126"/>
      <c r="E137" s="127"/>
      <c r="F137" s="131">
        <f>F$37</f>
        <v>29</v>
      </c>
      <c r="G137" s="52">
        <v>1</v>
      </c>
      <c r="H137" s="52"/>
      <c r="I137" s="28"/>
      <c r="J137" s="28"/>
      <c r="K137" s="28"/>
      <c r="L137" s="28"/>
      <c r="M137" s="28"/>
    </row>
    <row r="138" spans="1:13" ht="21.75" customHeight="1">
      <c r="A138" s="129" t="str">
        <f>A$38</f>
        <v>4T</v>
      </c>
      <c r="B138" s="130" t="str">
        <f>B$38</f>
        <v>02  Lester Lockhart/Pete Normandin</v>
      </c>
      <c r="C138" s="126"/>
      <c r="D138" s="126"/>
      <c r="E138" s="127"/>
      <c r="F138" s="131">
        <f>F$38</f>
        <v>28.5</v>
      </c>
      <c r="G138" s="52">
        <v>2</v>
      </c>
      <c r="H138" s="52"/>
      <c r="I138" s="28"/>
      <c r="J138" s="28"/>
      <c r="K138" s="28"/>
      <c r="L138" s="28"/>
      <c r="M138" s="28"/>
    </row>
    <row r="139" spans="1:13" ht="21.75" customHeight="1">
      <c r="A139" s="129" t="str">
        <f>A$39</f>
        <v>4T</v>
      </c>
      <c r="B139" s="130" t="str">
        <f>B$39</f>
        <v>03  Ralph Romano/Mike Romano</v>
      </c>
      <c r="C139" s="126"/>
      <c r="D139" s="126"/>
      <c r="E139" s="127"/>
      <c r="F139" s="131">
        <f>F$39</f>
        <v>28.5</v>
      </c>
      <c r="G139" s="52">
        <v>3</v>
      </c>
      <c r="H139" s="52"/>
      <c r="I139" s="28"/>
      <c r="J139" s="28"/>
      <c r="K139" s="28"/>
      <c r="L139" s="28"/>
      <c r="M139" s="28"/>
    </row>
    <row r="140" spans="1:13" ht="21.75" customHeight="1">
      <c r="A140" s="129">
        <f>A$40</f>
        <v>6</v>
      </c>
      <c r="B140" s="130" t="str">
        <f>B$40</f>
        <v>06  Dennis Normandin/Marc Normandin</v>
      </c>
      <c r="C140" s="126"/>
      <c r="D140" s="126"/>
      <c r="E140" s="127"/>
      <c r="F140" s="131">
        <f>F$40</f>
        <v>28</v>
      </c>
      <c r="G140" s="52">
        <v>4</v>
      </c>
      <c r="H140" s="52"/>
      <c r="I140" s="28"/>
      <c r="J140" s="28"/>
      <c r="K140" s="28"/>
      <c r="L140" s="28"/>
      <c r="M140" s="28"/>
    </row>
    <row r="141" spans="1:13" ht="21.75" customHeight="1">
      <c r="A141" s="129">
        <f>A$41</f>
        <v>7</v>
      </c>
      <c r="B141" s="130" t="str">
        <f>B$41</f>
        <v>05  Gary Leavenworth/Patty Leavenworth</v>
      </c>
      <c r="C141" s="126"/>
      <c r="D141" s="126"/>
      <c r="E141" s="127"/>
      <c r="F141" s="131">
        <f>F$41</f>
        <v>27</v>
      </c>
      <c r="G141" s="52">
        <v>5</v>
      </c>
      <c r="H141" s="52"/>
      <c r="I141" s="28"/>
      <c r="J141" s="28"/>
      <c r="K141" s="28"/>
      <c r="L141" s="28"/>
      <c r="M141" s="28"/>
    </row>
    <row r="142" spans="1:13" ht="21.75" customHeight="1">
      <c r="A142" s="129">
        <f>A$42</f>
        <v>8</v>
      </c>
      <c r="B142" s="130" t="str">
        <f>B$42</f>
        <v>04  Peg Romano/Lynn Laroche</v>
      </c>
      <c r="C142" s="126"/>
      <c r="D142" s="126"/>
      <c r="E142" s="127"/>
      <c r="F142" s="131">
        <f>F$42</f>
        <v>26</v>
      </c>
      <c r="G142" s="52">
        <v>6</v>
      </c>
      <c r="H142" s="52"/>
      <c r="I142" s="28"/>
      <c r="J142" s="28"/>
      <c r="K142" s="28"/>
      <c r="L142" s="28"/>
      <c r="M142" s="28"/>
    </row>
    <row r="143" spans="1:13" ht="21.75" customHeight="1">
      <c r="A143" s="129">
        <f>A$43</f>
        <v>9</v>
      </c>
      <c r="B143" s="130" t="str">
        <f>B$43</f>
        <v>08  Paul Fontaine/Yogi DiPasquale</v>
      </c>
      <c r="C143" s="126"/>
      <c r="D143" s="126"/>
      <c r="E143" s="127"/>
      <c r="F143" s="131">
        <f>F$43</f>
        <v>25.5</v>
      </c>
      <c r="G143" s="52">
        <v>7</v>
      </c>
      <c r="H143" s="52"/>
      <c r="I143" s="57"/>
      <c r="J143" s="28"/>
      <c r="K143" s="28"/>
      <c r="L143" s="28"/>
      <c r="M143" s="28"/>
    </row>
    <row r="144" spans="1:13" ht="21.75" customHeight="1">
      <c r="A144" s="129">
        <f>A$44</f>
        <v>10</v>
      </c>
      <c r="B144" s="130" t="str">
        <f>B$44</f>
        <v>07  Pete Romano/Ralph Romano</v>
      </c>
      <c r="C144" s="126"/>
      <c r="D144" s="126"/>
      <c r="E144" s="127"/>
      <c r="F144" s="131">
        <f>F$44</f>
        <v>25</v>
      </c>
      <c r="G144" s="52">
        <v>8</v>
      </c>
      <c r="H144" s="52"/>
      <c r="I144" s="28"/>
      <c r="J144" s="28"/>
      <c r="K144" s="28"/>
      <c r="L144" s="28"/>
      <c r="M144" s="28"/>
    </row>
    <row r="145" spans="1:13" ht="21.75" customHeight="1">
      <c r="A145" s="129">
        <f>A$45</f>
        <v>11</v>
      </c>
      <c r="B145" s="130" t="str">
        <f>B$45</f>
        <v>10  Dave Cormier/Norman Boisvert</v>
      </c>
      <c r="C145" s="126"/>
      <c r="D145" s="126"/>
      <c r="E145" s="127"/>
      <c r="F145" s="131">
        <f>F$45</f>
        <v>20.5</v>
      </c>
      <c r="G145" s="52">
        <v>9</v>
      </c>
      <c r="H145" s="52"/>
      <c r="I145" s="28"/>
      <c r="J145" s="28"/>
      <c r="K145" s="28"/>
      <c r="L145" s="28"/>
      <c r="M145" s="28"/>
    </row>
    <row r="146" spans="1:13" ht="21.75" customHeight="1">
      <c r="A146" s="129">
        <f>A$46</f>
        <v>12</v>
      </c>
      <c r="B146" s="130" t="str">
        <f>B$46</f>
        <v>12  Mike Marlborough/Rich Wilson</v>
      </c>
      <c r="C146" s="126"/>
      <c r="D146" s="126"/>
      <c r="E146" s="127"/>
      <c r="F146" s="131">
        <f>F$46</f>
        <v>18.5</v>
      </c>
      <c r="G146" s="52">
        <v>10</v>
      </c>
      <c r="H146" s="52"/>
      <c r="I146" s="28"/>
      <c r="J146" s="28"/>
      <c r="K146" s="28"/>
      <c r="L146" s="28"/>
      <c r="M146" s="28"/>
    </row>
    <row r="147" spans="1:13" ht="21.75" customHeight="1">
      <c r="A147" s="153"/>
      <c r="B147" s="154"/>
      <c r="C147" s="147"/>
      <c r="D147" s="147"/>
      <c r="E147" s="147"/>
      <c r="F147" s="155"/>
      <c r="G147" s="156"/>
      <c r="H147" s="52"/>
      <c r="I147" s="28"/>
      <c r="J147" s="28"/>
      <c r="K147" s="28"/>
      <c r="L147" s="28"/>
      <c r="M147" s="28"/>
    </row>
    <row r="148" spans="1:13" ht="21.75" customHeight="1">
      <c r="A148" s="153"/>
      <c r="B148" s="154"/>
      <c r="C148" s="147"/>
      <c r="D148" s="147"/>
      <c r="E148" s="147"/>
      <c r="F148" s="155"/>
      <c r="G148" s="156"/>
      <c r="H148" s="52"/>
      <c r="I148" s="28"/>
      <c r="J148" s="28"/>
      <c r="K148" s="28"/>
      <c r="L148" s="28"/>
      <c r="M148" s="28"/>
    </row>
    <row r="149" spans="10:13" ht="21.75" customHeight="1">
      <c r="J149" s="28"/>
      <c r="K149" s="28"/>
      <c r="L149" s="28"/>
      <c r="M149" s="28"/>
    </row>
    <row r="150" spans="10:13" ht="21.75" customHeight="1">
      <c r="J150" s="28"/>
      <c r="K150" s="28"/>
      <c r="L150" s="28"/>
      <c r="M150" s="28"/>
    </row>
    <row r="151" spans="1:14" s="132" customFormat="1" ht="21.75" customHeight="1">
      <c r="A151" s="230" t="s">
        <v>9</v>
      </c>
      <c r="B151" s="231"/>
      <c r="C151" s="231"/>
      <c r="D151" s="231"/>
      <c r="E151" s="231"/>
      <c r="F151" s="231"/>
      <c r="G151" s="231"/>
      <c r="H151" s="231"/>
      <c r="I151" s="231"/>
      <c r="J151" s="231"/>
      <c r="K151" s="231"/>
      <c r="L151" s="231"/>
      <c r="M151" s="232"/>
      <c r="N151" s="134"/>
    </row>
    <row r="152" spans="1:14" s="132" customFormat="1" ht="21.75" customHeight="1">
      <c r="A152" s="202" t="str">
        <f>"Romano Golf League - "&amp;N156&amp;" - "&amp;N158&amp;" - "&amp;TEXT(N157,"MMM dd, yyyy")</f>
        <v>Romano Golf League - Week 3 - FRONT - Jul 05, 2006</v>
      </c>
      <c r="B152" s="203"/>
      <c r="C152" s="203"/>
      <c r="D152" s="203"/>
      <c r="E152" s="203"/>
      <c r="F152" s="203"/>
      <c r="G152" s="203"/>
      <c r="H152" s="203"/>
      <c r="I152" s="203"/>
      <c r="J152" s="203"/>
      <c r="K152" s="203"/>
      <c r="L152" s="203"/>
      <c r="M152" s="204"/>
      <c r="N152" s="134"/>
    </row>
    <row r="153" spans="1:14" s="132" customFormat="1" ht="21.75" customHeight="1">
      <c r="A153" s="205"/>
      <c r="B153" s="205"/>
      <c r="C153" s="205"/>
      <c r="D153" s="205"/>
      <c r="E153" s="205"/>
      <c r="F153" s="205"/>
      <c r="G153" s="205"/>
      <c r="H153" s="205"/>
      <c r="I153" s="205"/>
      <c r="J153" s="205"/>
      <c r="K153" s="205"/>
      <c r="L153" s="205"/>
      <c r="M153" s="205"/>
      <c r="N153" s="134"/>
    </row>
    <row r="154" spans="1:14" s="132" customFormat="1" ht="21.75" customHeight="1">
      <c r="A154" s="228" t="s">
        <v>10</v>
      </c>
      <c r="B154" s="228"/>
      <c r="C154" s="228"/>
      <c r="D154" s="77">
        <f>IF(LEFT($N$8)="F",1,IF(LEFT($N$8)="B",10,"ERROR"))</f>
        <v>1</v>
      </c>
      <c r="E154" s="77">
        <f>IF(LEFT($N$8)="F",2,IF(LEFT($N$8)="B",11,"ERROR"))</f>
        <v>2</v>
      </c>
      <c r="F154" s="77">
        <f>IF(LEFT($N$8)="F",3,IF(LEFT($N$8)="B",12,"ERROR"))</f>
        <v>3</v>
      </c>
      <c r="G154" s="77">
        <f>IF(LEFT($N$8)="F",4,IF(LEFT($N$8)="B",13,"ERROR"))</f>
        <v>4</v>
      </c>
      <c r="H154" s="77">
        <f>IF(LEFT($N$8)="F",5,IF(LEFT($N$8)="B",14,"ERROR"))</f>
        <v>5</v>
      </c>
      <c r="I154" s="77">
        <f>IF(LEFT($N$8)="F",6,IF(LEFT($N$8)="B",15,"ERROR"))</f>
        <v>6</v>
      </c>
      <c r="J154" s="77">
        <f>IF(LEFT($N$8)="F",7,IF(LEFT($N$8)="B",16,"ERROR"))</f>
        <v>7</v>
      </c>
      <c r="K154" s="77">
        <f>IF(LEFT($N$8)="F",8,IF(LEFT($N$8)="B",17,"ERROR"))</f>
        <v>8</v>
      </c>
      <c r="L154" s="77">
        <f>IF(LEFT($N$8)="F",9,IF(LEFT($N$8)="B",18,"ERROR"))</f>
        <v>9</v>
      </c>
      <c r="M154" s="77" t="str">
        <f>IF(LEFT($N$8)="F","OUT",IF(LEFT($N$8)="B","IN","ERROR"))</f>
        <v>OUT</v>
      </c>
      <c r="N154" s="134"/>
    </row>
    <row r="155" spans="1:14" s="132" customFormat="1" ht="21.75" customHeight="1">
      <c r="A155" s="229" t="s">
        <v>11</v>
      </c>
      <c r="B155" s="229"/>
      <c r="C155" s="229"/>
      <c r="D155" s="78">
        <f>IF(D154=1,460,IF(D154=10,345,"ERROR"))</f>
        <v>460</v>
      </c>
      <c r="E155" s="78">
        <f>IF(E154=2,275,IF(E154=11,220,"ERROR"))</f>
        <v>275</v>
      </c>
      <c r="F155" s="78">
        <f>IF(F154=3,525,IF(F154=12,330,"ERROR"))</f>
        <v>525</v>
      </c>
      <c r="G155" s="78">
        <f>IF(G154=4,295,IF(G154=13,435,"ERROR"))</f>
        <v>295</v>
      </c>
      <c r="H155" s="78">
        <f>IF(H154=5,345,IF(H154=14,145,"ERROR"))</f>
        <v>345</v>
      </c>
      <c r="I155" s="78">
        <f>IF(I154=6,175,IF(I154=15,315,"ERROR"))</f>
        <v>175</v>
      </c>
      <c r="J155" s="78">
        <f>IF(J154=7,405,IF(J154=16,130,"ERROR"))</f>
        <v>405</v>
      </c>
      <c r="K155" s="78">
        <f>IF(K154=8,145,IF(K154=17,300,"ERROR"))</f>
        <v>145</v>
      </c>
      <c r="L155" s="78">
        <f>IF(L154=9,320,IF(L154=18,340,"ERROR"))</f>
        <v>320</v>
      </c>
      <c r="M155" s="78">
        <f>SUM(D155:L155)</f>
        <v>2945</v>
      </c>
      <c r="N155" s="134"/>
    </row>
    <row r="156" spans="1:14" s="132" customFormat="1" ht="21.75" customHeight="1">
      <c r="A156" s="216" t="s">
        <v>17</v>
      </c>
      <c r="B156" s="216"/>
      <c r="C156" s="216"/>
      <c r="D156" s="78">
        <f>IF(D$4=1,5,IF(D$4=10,5,"ERROR"))</f>
        <v>5</v>
      </c>
      <c r="E156" s="78">
        <f>IF(E154=2,4,IF(E154=11,4,"ERROR"))</f>
        <v>4</v>
      </c>
      <c r="F156" s="78">
        <f>IF(F154=3,5,IF(F154=12,4,"ERROR"))</f>
        <v>5</v>
      </c>
      <c r="G156" s="78">
        <f>IF(G154=4,4,IF(G154=13,5,"ERROR"))</f>
        <v>4</v>
      </c>
      <c r="H156" s="78">
        <f>IF(H154=5,4,IF(H154=14,3,"ERROR"))</f>
        <v>4</v>
      </c>
      <c r="I156" s="78">
        <f>IF(I154=6,3,IF(I154=15,4,"ERROR"))</f>
        <v>3</v>
      </c>
      <c r="J156" s="78">
        <f>IF(J154=7,4,IF(J154=16,3,"ERROR"))</f>
        <v>4</v>
      </c>
      <c r="K156" s="78">
        <f>IF(K154=8,3,IF(K154=17,4,"ERROR"))</f>
        <v>3</v>
      </c>
      <c r="L156" s="78">
        <f>IF(L154=9,4,IF(L154=18,4,"ERROR"))</f>
        <v>4</v>
      </c>
      <c r="M156" s="78">
        <f>SUM(D156:L156)</f>
        <v>36</v>
      </c>
      <c r="N156" s="135" t="str">
        <f>$N$6</f>
        <v>Week 3</v>
      </c>
    </row>
    <row r="157" spans="1:14" s="132" customFormat="1" ht="21.75" customHeight="1">
      <c r="A157" s="225" t="s">
        <v>16</v>
      </c>
      <c r="B157" s="226"/>
      <c r="C157" s="226"/>
      <c r="D157" s="79">
        <f>IF(D$4=1,5,IF(D$4=10,6,"ERROR"))</f>
        <v>5</v>
      </c>
      <c r="E157" s="79">
        <f>IF(E154=2,7,IF(E154=11,10,"ERROR"))</f>
        <v>7</v>
      </c>
      <c r="F157" s="79">
        <f>IF(F154=3,3,IF(F154=12,8,"ERROR"))</f>
        <v>3</v>
      </c>
      <c r="G157" s="79">
        <f>IF(G154=4,9,IF(G154=13,4,"ERROR"))</f>
        <v>9</v>
      </c>
      <c r="H157" s="79">
        <f>IF(H154=5,11,IF(H154=14,16,"ERROR"))</f>
        <v>11</v>
      </c>
      <c r="I157" s="79">
        <f>IF(I154=6,17,IF(I154=15,12,"ERROR"))</f>
        <v>17</v>
      </c>
      <c r="J157" s="79">
        <f>IF(J154=7,1,IF(J154=16,18,"ERROR"))</f>
        <v>1</v>
      </c>
      <c r="K157" s="79">
        <f>IF(K154=8,15,IF(K154=17,14,"ERROR"))</f>
        <v>15</v>
      </c>
      <c r="L157" s="79">
        <f>IF(L154=9,13,IF(L154=18,2,"ERROR"))</f>
        <v>13</v>
      </c>
      <c r="M157" s="80"/>
      <c r="N157" s="136">
        <f>$N$7</f>
        <v>38903</v>
      </c>
    </row>
    <row r="158" spans="1:14" s="132" customFormat="1" ht="21.75" customHeight="1">
      <c r="A158" s="213" t="s">
        <v>12</v>
      </c>
      <c r="B158" s="213"/>
      <c r="C158" s="213"/>
      <c r="D158" s="75">
        <f>IF(D154=1,375,IF(D154=10,290,"ERROR"))</f>
        <v>375</v>
      </c>
      <c r="E158" s="75">
        <f>IF(E154=2,250,IF(E154=11,200,"ERROR"))</f>
        <v>250</v>
      </c>
      <c r="F158" s="75">
        <f>IF(F154=3,475,IF(F154=12,205,"ERROR"))</f>
        <v>475</v>
      </c>
      <c r="G158" s="75">
        <f>IF(G154=4,255,IF(G154=13,350,"ERROR"))</f>
        <v>255</v>
      </c>
      <c r="H158" s="75">
        <f>IF(H154=5,325,IF(H154=14,140,"ERROR"))</f>
        <v>325</v>
      </c>
      <c r="I158" s="75">
        <f>IF(I154=6,155,IF(I154=15,290,"ERROR"))</f>
        <v>155</v>
      </c>
      <c r="J158" s="75">
        <f>IF(J154=7,375,IF(J154=16,125,"ERROR"))</f>
        <v>375</v>
      </c>
      <c r="K158" s="75">
        <f>IF(K154=8,130,IF(K154=17,255,"ERROR"))</f>
        <v>130</v>
      </c>
      <c r="L158" s="75">
        <f>IF(L154=9,290,IF(L154=18,280,"ERROR"))</f>
        <v>290</v>
      </c>
      <c r="M158" s="76">
        <f>SUM(D158:L158)</f>
        <v>2630</v>
      </c>
      <c r="N158" s="137" t="str">
        <f>$N$8</f>
        <v>FRONT</v>
      </c>
    </row>
    <row r="159" spans="1:15" s="132" customFormat="1" ht="21.75" customHeight="1">
      <c r="A159" s="216" t="s">
        <v>15</v>
      </c>
      <c r="B159" s="216"/>
      <c r="C159" s="216"/>
      <c r="D159" s="78">
        <f>IF(D$4=1,5,IF(D$4=10,4,"ERROR"))</f>
        <v>5</v>
      </c>
      <c r="E159" s="78">
        <f>IF(E$4=2,4,IF(E$4=11,4,"ERROR"))</f>
        <v>4</v>
      </c>
      <c r="F159" s="78">
        <f>IF(F$4=3,5,IF(F$4=12,4,"ERROR"))</f>
        <v>5</v>
      </c>
      <c r="G159" s="78">
        <f>IF(G$4=4,4,IF(G$4=13,5,"ERROR"))</f>
        <v>4</v>
      </c>
      <c r="H159" s="78">
        <f>IF(H$4=5,4,IF(H$4=14,3,"ERROR"))</f>
        <v>4</v>
      </c>
      <c r="I159" s="78">
        <f>IF(I$4=6,3,IF(I$4=15,4,"ERROR"))</f>
        <v>3</v>
      </c>
      <c r="J159" s="78">
        <f>IF(J$4=7,5,IF(J$4=16,3,"ERROR"))</f>
        <v>5</v>
      </c>
      <c r="K159" s="78">
        <f>IF(K$4=8,3,IF(K$4=17,4,"ERROR"))</f>
        <v>3</v>
      </c>
      <c r="L159" s="78">
        <f>IF(L$4=9,4,IF(L$4=18,4,"ERROR"))</f>
        <v>4</v>
      </c>
      <c r="M159" s="78">
        <f>SUM(D159:L159)</f>
        <v>37</v>
      </c>
      <c r="N159" s="135">
        <v>0.204166666666667</v>
      </c>
      <c r="O159" s="133"/>
    </row>
    <row r="160" spans="1:14" s="132" customFormat="1" ht="21.75" customHeight="1">
      <c r="A160" s="81" t="s">
        <v>0</v>
      </c>
      <c r="B160" s="81" t="s">
        <v>1</v>
      </c>
      <c r="C160" s="82" t="s">
        <v>13</v>
      </c>
      <c r="D160" s="83">
        <f>IF(D$4=1,5,IF(D$4=10,4,"ERROR"))</f>
        <v>5</v>
      </c>
      <c r="E160" s="83">
        <f>IF(E$4=2,7,IF(E$4=11,2,"ERROR"))</f>
        <v>7</v>
      </c>
      <c r="F160" s="83">
        <f>IF(F$4=3,3,IF(F$4=12,8,"ERROR"))</f>
        <v>3</v>
      </c>
      <c r="G160" s="83">
        <f>IF(G$4=4,9,IF(G$4=13,6,"ERROR"))</f>
        <v>9</v>
      </c>
      <c r="H160" s="83">
        <f>IF(H$4=5,11,IF(H$4=14,16,"ERROR"))</f>
        <v>11</v>
      </c>
      <c r="I160" s="83">
        <f>IF(I$4=6,17,IF(I$4=15,12,"ERROR"))</f>
        <v>17</v>
      </c>
      <c r="J160" s="83">
        <f>IF(J$4=7,1,IF(J$4=16,18,"ERROR"))</f>
        <v>1</v>
      </c>
      <c r="K160" s="83">
        <f>IF(K$4=8,15,IF(K$4=17,14,"ERROR"))</f>
        <v>15</v>
      </c>
      <c r="L160" s="83">
        <f>IF(L$4=9,13,IF(L$4=18,10,"ERROR"))</f>
        <v>13</v>
      </c>
      <c r="M160" s="84"/>
      <c r="N160" s="137" t="str">
        <f>VLOOKUP(N159,'SCHEDULE &amp; POINTS'!$B$8:$I$14,RIGHT($N$6)+1,FALSE)</f>
        <v>4 v 12</v>
      </c>
    </row>
    <row r="161" spans="1:13" ht="12" customHeight="1">
      <c r="A161" s="27"/>
      <c r="B161" s="73"/>
      <c r="C161" s="27"/>
      <c r="D161" s="38">
        <f>IF($B175-9&gt;=IF(VLOOKUP($B162,'SCORES &amp; HANDICAP CALCULATOR'!$B$3:$E$67,3,FALSE)="F",D$24,D$23),2,IF($B175&gt;=IF(VLOOKUP($B162,'SCORES &amp; HANDICAP CALCULATOR'!$B$3:$E$67,3,FALSE)="F",D$24,D$23),1,0))</f>
        <v>1</v>
      </c>
      <c r="E161" s="38">
        <f>IF($B175-9&gt;=IF(VLOOKUP($B162,'SCORES &amp; HANDICAP CALCULATOR'!$B$3:$E$67,3,FALSE)="F",E$24,E$23),2,IF($B175&gt;=IF(VLOOKUP($B162,'SCORES &amp; HANDICAP CALCULATOR'!$B$3:$E$67,3,FALSE)="F",E$24,E$23),1,0))</f>
        <v>0</v>
      </c>
      <c r="F161" s="38">
        <f>IF($B175-9&gt;=IF(VLOOKUP($B162,'SCORES &amp; HANDICAP CALCULATOR'!$B$3:$E$67,3,FALSE)="F",F$24,F$23),2,IF($B175&gt;=IF(VLOOKUP($B162,'SCORES &amp; HANDICAP CALCULATOR'!$B$3:$E$67,3,FALSE)="F",F$24,F$23),1,0))</f>
        <v>1</v>
      </c>
      <c r="G161" s="38">
        <f>IF($B175-9&gt;=IF(VLOOKUP($B162,'SCORES &amp; HANDICAP CALCULATOR'!$B$3:$E$67,3,FALSE)="F",G$24,G$23),2,IF($B175&gt;=IF(VLOOKUP($B162,'SCORES &amp; HANDICAP CALCULATOR'!$B$3:$E$67,3,FALSE)="F",G$24,G$23),1,0))</f>
        <v>0</v>
      </c>
      <c r="H161" s="38">
        <f>IF($B175-9&gt;=IF(VLOOKUP($B162,'SCORES &amp; HANDICAP CALCULATOR'!$B$3:$E$67,3,FALSE)="F",H$24,H$23),2,IF($B175&gt;=IF(VLOOKUP($B162,'SCORES &amp; HANDICAP CALCULATOR'!$B$3:$E$67,3,FALSE)="F",H$24,H$23),1,0))</f>
        <v>0</v>
      </c>
      <c r="I161" s="38">
        <f>IF($B175-9&gt;=IF(VLOOKUP($B162,'SCORES &amp; HANDICAP CALCULATOR'!$B$3:$E$67,3,FALSE)="F",I$24,I$23),2,IF($B175&gt;=IF(VLOOKUP($B162,'SCORES &amp; HANDICAP CALCULATOR'!$B$3:$E$67,3,FALSE)="F",I$24,I$23),1,0))</f>
        <v>0</v>
      </c>
      <c r="J161" s="38">
        <f>IF($B175-9&gt;=IF(VLOOKUP($B162,'SCORES &amp; HANDICAP CALCULATOR'!$B$3:$E$67,3,FALSE)="F",J$24,J$23),2,IF($B175&gt;=IF(VLOOKUP($B162,'SCORES &amp; HANDICAP CALCULATOR'!$B$3:$E$67,3,FALSE)="F",J$24,J$23),1,0))</f>
        <v>1</v>
      </c>
      <c r="K161" s="38">
        <f>IF($B175-9&gt;=IF(VLOOKUP($B162,'SCORES &amp; HANDICAP CALCULATOR'!$B$3:$E$67,3,FALSE)="F",K$24,K$23),2,IF($B175&gt;=IF(VLOOKUP($B162,'SCORES &amp; HANDICAP CALCULATOR'!$B$3:$E$67,3,FALSE)="F",K$24,K$23),1,0))</f>
        <v>0</v>
      </c>
      <c r="L161" s="38">
        <f>IF($B175-9&gt;=IF(VLOOKUP($B162,'SCORES &amp; HANDICAP CALCULATOR'!$B$3:$E$67,3,FALSE)="F",L$24,L$23),2,IF($B175&gt;=IF(VLOOKUP($B162,'SCORES &amp; HANDICAP CALCULATOR'!$B$3:$E$67,3,FALSE)="F",L$24,L$23),1,0))</f>
        <v>0</v>
      </c>
      <c r="M161" s="38">
        <f>SUM(D161:L161)</f>
        <v>3</v>
      </c>
    </row>
    <row r="162" spans="1:14" ht="34.5" customHeight="1">
      <c r="A162" s="54">
        <f>VLOOKUP(B162,'SCORES &amp; HANDICAP CALCULATOR'!$B$3:$E$67,4,FALSE)</f>
        <v>20</v>
      </c>
      <c r="B162" s="54" t="str">
        <f>N162&amp;"A"</f>
        <v>4A</v>
      </c>
      <c r="C162" s="54" t="str">
        <f>VLOOKUP(B162,'SCORES &amp; HANDICAP CALCULATOR'!$B$3:$E$50,2,FALSE)</f>
        <v>Peg Romano</v>
      </c>
      <c r="D162" s="29"/>
      <c r="E162" s="30"/>
      <c r="F162" s="30"/>
      <c r="G162" s="30"/>
      <c r="H162" s="30"/>
      <c r="I162" s="30"/>
      <c r="J162" s="30"/>
      <c r="K162" s="30"/>
      <c r="L162" s="30"/>
      <c r="M162" s="30"/>
      <c r="N162" s="9" t="str">
        <f>LEFT(SUBSTITUTE(N160," v ",","),FIND(",",SUBSTITUTE(N160," v ",","))-1)</f>
        <v>4</v>
      </c>
    </row>
    <row r="163" spans="1:13" ht="12" customHeight="1">
      <c r="A163" s="27"/>
      <c r="B163" s="70"/>
      <c r="C163" s="27"/>
      <c r="D163" s="38">
        <f>IF($B176-9&gt;=IF(VLOOKUP($B164,'SCORES &amp; HANDICAP CALCULATOR'!$B$3:$E$67,3,FALSE)="F",D$24,D$23),2,IF($B176&gt;=IF(VLOOKUP($B164,'SCORES &amp; HANDICAP CALCULATOR'!$B$3:$E$67,3,FALSE)="F",D$24,D$23),1,0))</f>
        <v>0</v>
      </c>
      <c r="E163" s="38">
        <f>IF($B176-9&gt;=IF(VLOOKUP($B164,'SCORES &amp; HANDICAP CALCULATOR'!$B$3:$E$67,3,FALSE)="F",E$24,E$23),2,IF($B176&gt;=IF(VLOOKUP($B164,'SCORES &amp; HANDICAP CALCULATOR'!$B$3:$E$67,3,FALSE)="F",E$24,E$23),1,0))</f>
        <v>0</v>
      </c>
      <c r="F163" s="38">
        <f>IF($B176-9&gt;=IF(VLOOKUP($B164,'SCORES &amp; HANDICAP CALCULATOR'!$B$3:$E$67,3,FALSE)="F",F$24,F$23),2,IF($B176&gt;=IF(VLOOKUP($B164,'SCORES &amp; HANDICAP CALCULATOR'!$B$3:$E$67,3,FALSE)="F",F$24,F$23),1,0))</f>
        <v>0</v>
      </c>
      <c r="G163" s="38">
        <f>IF($B176-9&gt;=IF(VLOOKUP($B164,'SCORES &amp; HANDICAP CALCULATOR'!$B$3:$E$67,3,FALSE)="F",G$24,G$23),2,IF($B176&gt;=IF(VLOOKUP($B164,'SCORES &amp; HANDICAP CALCULATOR'!$B$3:$E$67,3,FALSE)="F",G$24,G$23),1,0))</f>
        <v>0</v>
      </c>
      <c r="H163" s="38">
        <f>IF($B176-9&gt;=IF(VLOOKUP($B164,'SCORES &amp; HANDICAP CALCULATOR'!$B$3:$E$67,3,FALSE)="F",H$24,H$23),2,IF($B176&gt;=IF(VLOOKUP($B164,'SCORES &amp; HANDICAP CALCULATOR'!$B$3:$E$67,3,FALSE)="F",H$24,H$23),1,0))</f>
        <v>0</v>
      </c>
      <c r="I163" s="38">
        <f>IF($B176-9&gt;=IF(VLOOKUP($B164,'SCORES &amp; HANDICAP CALCULATOR'!$B$3:$E$67,3,FALSE)="F",I$24,I$23),2,IF($B176&gt;=IF(VLOOKUP($B164,'SCORES &amp; HANDICAP CALCULATOR'!$B$3:$E$67,3,FALSE)="F",I$24,I$23),1,0))</f>
        <v>0</v>
      </c>
      <c r="J163" s="38">
        <f>IF($B176-9&gt;=IF(VLOOKUP($B164,'SCORES &amp; HANDICAP CALCULATOR'!$B$3:$E$67,3,FALSE)="F",J$24,J$23),2,IF($B176&gt;=IF(VLOOKUP($B164,'SCORES &amp; HANDICAP CALCULATOR'!$B$3:$E$67,3,FALSE)="F",J$24,J$23),1,0))</f>
        <v>0</v>
      </c>
      <c r="K163" s="38">
        <f>IF($B176-9&gt;=IF(VLOOKUP($B164,'SCORES &amp; HANDICAP CALCULATOR'!$B$3:$E$67,3,FALSE)="F",K$24,K$23),2,IF($B176&gt;=IF(VLOOKUP($B164,'SCORES &amp; HANDICAP CALCULATOR'!$B$3:$E$67,3,FALSE)="F",K$24,K$23),1,0))</f>
        <v>0</v>
      </c>
      <c r="L163" s="38">
        <f>IF($B176-9&gt;=IF(VLOOKUP($B164,'SCORES &amp; HANDICAP CALCULATOR'!$B$3:$E$67,3,FALSE)="F",L$24,L$23),2,IF($B176&gt;=IF(VLOOKUP($B164,'SCORES &amp; HANDICAP CALCULATOR'!$B$3:$E$67,3,FALSE)="F",L$24,L$23),1,0))</f>
        <v>0</v>
      </c>
      <c r="M163" s="38">
        <f>SUM(D163:L163)</f>
        <v>0</v>
      </c>
    </row>
    <row r="164" spans="1:13" ht="34.5" customHeight="1">
      <c r="A164" s="54">
        <f>VLOOKUP(B164,'SCORES &amp; HANDICAP CALCULATOR'!$B$3:$E$67,4,FALSE)</f>
        <v>17</v>
      </c>
      <c r="B164" s="54" t="str">
        <f>N162&amp;"B"</f>
        <v>4B</v>
      </c>
      <c r="C164" s="54" t="str">
        <f>VLOOKUP(B164,'SCORES &amp; HANDICAP CALCULATOR'!$B$3:$E$50,2,FALSE)</f>
        <v>Lynn Laroche</v>
      </c>
      <c r="D164" s="29"/>
      <c r="E164" s="30"/>
      <c r="F164" s="30"/>
      <c r="G164" s="30"/>
      <c r="H164" s="30"/>
      <c r="I164" s="30"/>
      <c r="J164" s="30"/>
      <c r="K164" s="30"/>
      <c r="L164" s="30"/>
      <c r="M164" s="30"/>
    </row>
    <row r="165" spans="1:13" ht="21.75" customHeight="1">
      <c r="A165" s="31"/>
      <c r="B165" s="71"/>
      <c r="C165" s="217" t="s">
        <v>87</v>
      </c>
      <c r="D165" s="32"/>
      <c r="E165" s="32"/>
      <c r="F165" s="32"/>
      <c r="G165" s="32"/>
      <c r="H165" s="32"/>
      <c r="I165" s="32"/>
      <c r="J165" s="32"/>
      <c r="K165" s="32"/>
      <c r="L165" s="32"/>
      <c r="M165" s="61"/>
    </row>
    <row r="166" spans="1:13" ht="21.75" customHeight="1">
      <c r="A166" s="33"/>
      <c r="B166" s="72"/>
      <c r="C166" s="218"/>
      <c r="D166" s="32"/>
      <c r="E166" s="32"/>
      <c r="F166" s="32"/>
      <c r="G166" s="32"/>
      <c r="H166" s="32"/>
      <c r="I166" s="32"/>
      <c r="J166" s="32"/>
      <c r="K166" s="32"/>
      <c r="L166" s="32"/>
      <c r="M166" s="61"/>
    </row>
    <row r="167" spans="1:13" ht="12" customHeight="1">
      <c r="A167" s="27"/>
      <c r="B167" s="70"/>
      <c r="C167" s="27"/>
      <c r="D167" s="38">
        <f>IF($B178-9&gt;=IF(VLOOKUP($B168,'SCORES &amp; HANDICAP CALCULATOR'!$B$3:$E$67,3,FALSE)="F",D$24,D$23),2,IF($B178&gt;=IF(VLOOKUP($B168,'SCORES &amp; HANDICAP CALCULATOR'!$B$3:$E$67,3,FALSE)="F",D$24,D$23),1,0))</f>
        <v>0</v>
      </c>
      <c r="E167" s="38">
        <f>IF($B178-9&gt;=IF(VLOOKUP($B168,'SCORES &amp; HANDICAP CALCULATOR'!$B$3:$E$67,3,FALSE)="F",E$24,E$23),2,IF($B178&gt;=IF(VLOOKUP($B168,'SCORES &amp; HANDICAP CALCULATOR'!$B$3:$E$67,3,FALSE)="F",E$24,E$23),1,0))</f>
        <v>0</v>
      </c>
      <c r="F167" s="38">
        <f>IF($B178-9&gt;=IF(VLOOKUP($B168,'SCORES &amp; HANDICAP CALCULATOR'!$B$3:$E$67,3,FALSE)="F",F$24,F$23),2,IF($B178&gt;=IF(VLOOKUP($B168,'SCORES &amp; HANDICAP CALCULATOR'!$B$3:$E$67,3,FALSE)="F",F$24,F$23),1,0))</f>
        <v>0</v>
      </c>
      <c r="G167" s="38">
        <f>IF($B178-9&gt;=IF(VLOOKUP($B168,'SCORES &amp; HANDICAP CALCULATOR'!$B$3:$E$67,3,FALSE)="F",G$24,G$23),2,IF($B178&gt;=IF(VLOOKUP($B168,'SCORES &amp; HANDICAP CALCULATOR'!$B$3:$E$67,3,FALSE)="F",G$24,G$23),1,0))</f>
        <v>0</v>
      </c>
      <c r="H167" s="38">
        <f>IF($B178-9&gt;=IF(VLOOKUP($B168,'SCORES &amp; HANDICAP CALCULATOR'!$B$3:$E$67,3,FALSE)="F",H$24,H$23),2,IF($B178&gt;=IF(VLOOKUP($B168,'SCORES &amp; HANDICAP CALCULATOR'!$B$3:$E$67,3,FALSE)="F",H$24,H$23),1,0))</f>
        <v>0</v>
      </c>
      <c r="I167" s="38">
        <f>IF($B178-9&gt;=IF(VLOOKUP($B168,'SCORES &amp; HANDICAP CALCULATOR'!$B$3:$E$67,3,FALSE)="F",I$24,I$23),2,IF($B178&gt;=IF(VLOOKUP($B168,'SCORES &amp; HANDICAP CALCULATOR'!$B$3:$E$67,3,FALSE)="F",I$24,I$23),1,0))</f>
        <v>0</v>
      </c>
      <c r="J167" s="38">
        <f>IF($B178-9&gt;=IF(VLOOKUP($B168,'SCORES &amp; HANDICAP CALCULATOR'!$B$3:$E$67,3,FALSE)="F",J$24,J$23),2,IF($B178&gt;=IF(VLOOKUP($B168,'SCORES &amp; HANDICAP CALCULATOR'!$B$3:$E$67,3,FALSE)="F",J$24,J$23),1,0))</f>
        <v>0</v>
      </c>
      <c r="K167" s="38">
        <f>IF($B178-9&gt;=IF(VLOOKUP($B168,'SCORES &amp; HANDICAP CALCULATOR'!$B$3:$E$67,3,FALSE)="F",K$24,K$23),2,IF($B178&gt;=IF(VLOOKUP($B168,'SCORES &amp; HANDICAP CALCULATOR'!$B$3:$E$67,3,FALSE)="F",K$24,K$23),1,0))</f>
        <v>0</v>
      </c>
      <c r="L167" s="38">
        <f>IF($B178-9&gt;=IF(VLOOKUP($B168,'SCORES &amp; HANDICAP CALCULATOR'!$B$3:$E$67,3,FALSE)="F",L$24,L$23),2,IF($B178&gt;=IF(VLOOKUP($B168,'SCORES &amp; HANDICAP CALCULATOR'!$B$3:$E$67,3,FALSE)="F",L$24,L$23),1,0))</f>
        <v>0</v>
      </c>
      <c r="M167" s="38">
        <f>SUM(D167:L167)</f>
        <v>0</v>
      </c>
    </row>
    <row r="168" spans="1:14" ht="34.5" customHeight="1">
      <c r="A168" s="54">
        <f>VLOOKUP(B168,'SCORES &amp; HANDICAP CALCULATOR'!$B$3:$E$67,4,FALSE)</f>
        <v>17</v>
      </c>
      <c r="B168" s="54" t="str">
        <f>N168&amp;"A"</f>
        <v>12A</v>
      </c>
      <c r="C168" s="54" t="str">
        <f>VLOOKUP(B168,'SCORES &amp; HANDICAP CALCULATOR'!$B$3:$E$50,2,FALSE)</f>
        <v>Mike Marlborough</v>
      </c>
      <c r="D168" s="29"/>
      <c r="E168" s="30"/>
      <c r="F168" s="30"/>
      <c r="G168" s="30"/>
      <c r="H168" s="30"/>
      <c r="I168" s="30"/>
      <c r="J168" s="30"/>
      <c r="K168" s="30"/>
      <c r="L168" s="30"/>
      <c r="M168" s="30"/>
      <c r="N168" s="9" t="str">
        <f>RIGHT(SUBSTITUTE(N160," v ",","),LEN(SUBSTITUTE(N160," v ",","))-FIND(",",SUBSTITUTE(N160," v ",",")))</f>
        <v>12</v>
      </c>
    </row>
    <row r="169" spans="1:13" ht="12" customHeight="1">
      <c r="A169" s="27"/>
      <c r="B169" s="70"/>
      <c r="C169" s="27"/>
      <c r="D169" s="38">
        <f>IF($B179-9&gt;=IF(VLOOKUP($B170,'SCORES &amp; HANDICAP CALCULATOR'!$B$3:$E$67,3,FALSE)="F",D$24,D$23),2,IF($B179&gt;=IF(VLOOKUP($B170,'SCORES &amp; HANDICAP CALCULATOR'!$B$3:$E$67,3,FALSE)="F",D$24,D$23),1,0))</f>
        <v>1</v>
      </c>
      <c r="E169" s="38">
        <f>IF($B179-9&gt;=IF(VLOOKUP($B170,'SCORES &amp; HANDICAP CALCULATOR'!$B$3:$E$67,3,FALSE)="F",E$24,E$23),2,IF($B179&gt;=IF(VLOOKUP($B170,'SCORES &amp; HANDICAP CALCULATOR'!$B$3:$E$67,3,FALSE)="F",E$24,E$23),1,0))</f>
        <v>1</v>
      </c>
      <c r="F169" s="38">
        <f>IF($B179-9&gt;=IF(VLOOKUP($B170,'SCORES &amp; HANDICAP CALCULATOR'!$B$3:$E$67,3,FALSE)="F",F$24,F$23),2,IF($B179&gt;=IF(VLOOKUP($B170,'SCORES &amp; HANDICAP CALCULATOR'!$B$3:$E$67,3,FALSE)="F",F$24,F$23),1,0))</f>
        <v>1</v>
      </c>
      <c r="G169" s="38">
        <f>IF($B179-9&gt;=IF(VLOOKUP($B170,'SCORES &amp; HANDICAP CALCULATOR'!$B$3:$E$67,3,FALSE)="F",G$24,G$23),2,IF($B179&gt;=IF(VLOOKUP($B170,'SCORES &amp; HANDICAP CALCULATOR'!$B$3:$E$67,3,FALSE)="F",G$24,G$23),1,0))</f>
        <v>0</v>
      </c>
      <c r="H169" s="38">
        <f>IF($B179-9&gt;=IF(VLOOKUP($B170,'SCORES &amp; HANDICAP CALCULATOR'!$B$3:$E$67,3,FALSE)="F",H$24,H$23),2,IF($B179&gt;=IF(VLOOKUP($B170,'SCORES &amp; HANDICAP CALCULATOR'!$B$3:$E$67,3,FALSE)="F",H$24,H$23),1,0))</f>
        <v>0</v>
      </c>
      <c r="I169" s="38">
        <f>IF($B179-9&gt;=IF(VLOOKUP($B170,'SCORES &amp; HANDICAP CALCULATOR'!$B$3:$E$67,3,FALSE)="F",I$24,I$23),2,IF($B179&gt;=IF(VLOOKUP($B170,'SCORES &amp; HANDICAP CALCULATOR'!$B$3:$E$67,3,FALSE)="F",I$24,I$23),1,0))</f>
        <v>0</v>
      </c>
      <c r="J169" s="38">
        <f>IF($B179-9&gt;=IF(VLOOKUP($B170,'SCORES &amp; HANDICAP CALCULATOR'!$B$3:$E$67,3,FALSE)="F",J$24,J$23),2,IF($B179&gt;=IF(VLOOKUP($B170,'SCORES &amp; HANDICAP CALCULATOR'!$B$3:$E$67,3,FALSE)="F",J$24,J$23),1,0))</f>
        <v>1</v>
      </c>
      <c r="K169" s="38">
        <f>IF($B179-9&gt;=IF(VLOOKUP($B170,'SCORES &amp; HANDICAP CALCULATOR'!$B$3:$E$67,3,FALSE)="F",K$24,K$23),2,IF($B179&gt;=IF(VLOOKUP($B170,'SCORES &amp; HANDICAP CALCULATOR'!$B$3:$E$67,3,FALSE)="F",K$24,K$23),1,0))</f>
        <v>0</v>
      </c>
      <c r="L169" s="38">
        <f>IF($B179-9&gt;=IF(VLOOKUP($B170,'SCORES &amp; HANDICAP CALCULATOR'!$B$3:$E$67,3,FALSE)="F",L$24,L$23),2,IF($B179&gt;=IF(VLOOKUP($B170,'SCORES &amp; HANDICAP CALCULATOR'!$B$3:$E$67,3,FALSE)="F",L$24,L$23),1,0))</f>
        <v>0</v>
      </c>
      <c r="M169" s="38">
        <f>SUM(D169:L169)</f>
        <v>4</v>
      </c>
    </row>
    <row r="170" spans="1:13" ht="34.5" customHeight="1">
      <c r="A170" s="54">
        <f>VLOOKUP(B170,'SCORES &amp; HANDICAP CALCULATOR'!$B$3:$E$67,4,FALSE)</f>
        <v>21</v>
      </c>
      <c r="B170" s="54" t="str">
        <f>N168&amp;"B"</f>
        <v>12B</v>
      </c>
      <c r="C170" s="54" t="str">
        <f>VLOOKUP(B170,'SCORES &amp; HANDICAP CALCULATOR'!$B$3:$E$50,2,FALSE)</f>
        <v>Rich Wilson</v>
      </c>
      <c r="D170" s="29"/>
      <c r="E170" s="30"/>
      <c r="F170" s="30"/>
      <c r="G170" s="30"/>
      <c r="H170" s="30"/>
      <c r="I170" s="30"/>
      <c r="J170" s="30"/>
      <c r="K170" s="30"/>
      <c r="L170" s="30"/>
      <c r="M170" s="30"/>
    </row>
    <row r="171" spans="1:13" ht="21.75" customHeight="1">
      <c r="A171" s="34"/>
      <c r="B171" s="34"/>
      <c r="C171" s="34"/>
      <c r="D171" s="35"/>
      <c r="E171" s="35"/>
      <c r="F171" s="35"/>
      <c r="G171" s="35"/>
      <c r="H171" s="35"/>
      <c r="I171" s="35"/>
      <c r="J171" s="35"/>
      <c r="K171" s="35"/>
      <c r="L171" s="35"/>
      <c r="M171" s="36"/>
    </row>
    <row r="172" spans="1:13" ht="21.75" customHeight="1">
      <c r="A172" s="206" t="str">
        <f>CONCATENATE("TEE TIME: ",TEXT(N159,"h:mm")," PM")</f>
        <v>TEE TIME: 4:54 PM</v>
      </c>
      <c r="B172" s="207"/>
      <c r="C172" s="207"/>
      <c r="D172" s="207"/>
      <c r="E172" s="207"/>
      <c r="F172" s="207"/>
      <c r="G172" s="207"/>
      <c r="H172" s="207"/>
      <c r="I172" s="207"/>
      <c r="J172" s="207"/>
      <c r="K172" s="207"/>
      <c r="L172" s="207"/>
      <c r="M172" s="207"/>
    </row>
    <row r="173" spans="1:13" ht="18" hidden="1">
      <c r="A173" s="121"/>
      <c r="B173" s="121"/>
      <c r="C173" s="122" t="s">
        <v>88</v>
      </c>
      <c r="D173" s="121">
        <f>D$23</f>
        <v>3</v>
      </c>
      <c r="E173" s="121">
        <f aca="true" t="shared" si="7" ref="E173:L173">E$23</f>
        <v>4</v>
      </c>
      <c r="F173" s="121">
        <f t="shared" si="7"/>
        <v>2</v>
      </c>
      <c r="G173" s="121">
        <f t="shared" si="7"/>
        <v>5</v>
      </c>
      <c r="H173" s="121">
        <f t="shared" si="7"/>
        <v>6</v>
      </c>
      <c r="I173" s="121">
        <f t="shared" si="7"/>
        <v>9</v>
      </c>
      <c r="J173" s="121">
        <f t="shared" si="7"/>
        <v>1</v>
      </c>
      <c r="K173" s="121">
        <f t="shared" si="7"/>
        <v>8</v>
      </c>
      <c r="L173" s="121">
        <f t="shared" si="7"/>
        <v>7</v>
      </c>
      <c r="M173" s="123"/>
    </row>
    <row r="174" spans="1:13" ht="18" hidden="1">
      <c r="A174" s="121"/>
      <c r="B174" s="121"/>
      <c r="C174" s="122" t="s">
        <v>89</v>
      </c>
      <c r="D174" s="121">
        <f>D$24</f>
        <v>3</v>
      </c>
      <c r="E174" s="121">
        <f aca="true" t="shared" si="8" ref="E174:L174">E$24</f>
        <v>4</v>
      </c>
      <c r="F174" s="121">
        <f t="shared" si="8"/>
        <v>2</v>
      </c>
      <c r="G174" s="121">
        <f t="shared" si="8"/>
        <v>5</v>
      </c>
      <c r="H174" s="121">
        <f t="shared" si="8"/>
        <v>6</v>
      </c>
      <c r="I174" s="121">
        <f t="shared" si="8"/>
        <v>9</v>
      </c>
      <c r="J174" s="121">
        <f t="shared" si="8"/>
        <v>1</v>
      </c>
      <c r="K174" s="121">
        <f t="shared" si="8"/>
        <v>8</v>
      </c>
      <c r="L174" s="121">
        <f t="shared" si="8"/>
        <v>7</v>
      </c>
      <c r="M174" s="121"/>
    </row>
    <row r="175" spans="1:13" ht="18" hidden="1">
      <c r="A175" s="121">
        <f>MIN(A162:A170)</f>
        <v>17</v>
      </c>
      <c r="B175" s="121">
        <f>A162-A175</f>
        <v>3</v>
      </c>
      <c r="C175" s="121"/>
      <c r="D175" s="121"/>
      <c r="E175" s="121"/>
      <c r="F175" s="121"/>
      <c r="G175" s="121"/>
      <c r="H175" s="121"/>
      <c r="I175" s="121"/>
      <c r="J175" s="121"/>
      <c r="K175" s="121"/>
      <c r="L175" s="121"/>
      <c r="M175" s="121"/>
    </row>
    <row r="176" spans="1:13" ht="18" hidden="1">
      <c r="A176" s="121"/>
      <c r="B176" s="121">
        <f>A164-A175</f>
        <v>0</v>
      </c>
      <c r="C176" s="121"/>
      <c r="D176" s="121"/>
      <c r="E176" s="121"/>
      <c r="F176" s="121"/>
      <c r="G176" s="121"/>
      <c r="H176" s="121"/>
      <c r="I176" s="121"/>
      <c r="J176" s="121"/>
      <c r="K176" s="121"/>
      <c r="L176" s="121"/>
      <c r="M176" s="121"/>
    </row>
    <row r="177" spans="1:13" ht="18" hidden="1">
      <c r="A177" s="121"/>
      <c r="B177" s="121"/>
      <c r="C177" s="121"/>
      <c r="D177" s="121"/>
      <c r="E177" s="121"/>
      <c r="F177" s="121"/>
      <c r="G177" s="121"/>
      <c r="H177" s="121"/>
      <c r="I177" s="121"/>
      <c r="J177" s="121"/>
      <c r="K177" s="121"/>
      <c r="L177" s="121"/>
      <c r="M177" s="121"/>
    </row>
    <row r="178" spans="1:13" ht="18" hidden="1">
      <c r="A178" s="121"/>
      <c r="B178" s="121">
        <f>A168-A175</f>
        <v>0</v>
      </c>
      <c r="C178" s="121"/>
      <c r="D178" s="121"/>
      <c r="E178" s="121"/>
      <c r="F178" s="121"/>
      <c r="G178" s="121"/>
      <c r="H178" s="121"/>
      <c r="I178" s="121"/>
      <c r="J178" s="121"/>
      <c r="K178" s="121"/>
      <c r="L178" s="121"/>
      <c r="M178" s="121"/>
    </row>
    <row r="179" spans="1:13" ht="18" hidden="1">
      <c r="A179" s="121"/>
      <c r="B179" s="121">
        <f>A170-A175</f>
        <v>4</v>
      </c>
      <c r="C179" s="121"/>
      <c r="D179" s="121"/>
      <c r="E179" s="121"/>
      <c r="F179" s="121"/>
      <c r="G179" s="121"/>
      <c r="H179" s="121"/>
      <c r="I179" s="121"/>
      <c r="J179" s="121"/>
      <c r="K179" s="121"/>
      <c r="L179" s="121"/>
      <c r="M179" s="121"/>
    </row>
    <row r="180" spans="1:13" ht="21.75" customHeight="1">
      <c r="A180" s="28"/>
      <c r="B180" s="28"/>
      <c r="C180" s="28"/>
      <c r="D180" s="28"/>
      <c r="E180" s="28"/>
      <c r="F180" s="28"/>
      <c r="G180" s="28"/>
      <c r="H180" s="28"/>
      <c r="I180" s="28"/>
      <c r="J180" s="28"/>
      <c r="K180" s="28"/>
      <c r="L180" s="28"/>
      <c r="M180" s="28"/>
    </row>
    <row r="181" spans="1:13" ht="21.75" customHeight="1">
      <c r="A181" s="28"/>
      <c r="B181" s="28"/>
      <c r="C181" s="28"/>
      <c r="D181" s="28"/>
      <c r="E181" s="28"/>
      <c r="F181" s="28"/>
      <c r="G181" s="28"/>
      <c r="H181" s="28"/>
      <c r="I181" s="28"/>
      <c r="J181" s="28"/>
      <c r="K181" s="28"/>
      <c r="L181" s="28"/>
      <c r="M181" s="28"/>
    </row>
    <row r="182" spans="1:13" ht="21.75" customHeight="1">
      <c r="A182" s="208" t="str">
        <f>A32</f>
        <v>Standings - Second Half</v>
      </c>
      <c r="B182" s="200"/>
      <c r="C182" s="200"/>
      <c r="D182" s="200"/>
      <c r="E182" s="200"/>
      <c r="F182" s="201"/>
      <c r="G182" s="59"/>
      <c r="H182" s="28"/>
      <c r="I182" s="28"/>
      <c r="J182" s="28"/>
      <c r="K182" s="28"/>
      <c r="L182" s="28"/>
      <c r="M182" s="28"/>
    </row>
    <row r="183" spans="1:13" ht="21.75" customHeight="1">
      <c r="A183" s="28"/>
      <c r="B183" s="28"/>
      <c r="C183" s="28"/>
      <c r="D183" s="28"/>
      <c r="E183" s="28"/>
      <c r="F183" s="28"/>
      <c r="G183" s="28"/>
      <c r="H183" s="28"/>
      <c r="I183" s="28"/>
      <c r="J183" s="28"/>
      <c r="K183" s="28"/>
      <c r="L183" s="28"/>
      <c r="M183" s="28"/>
    </row>
    <row r="184" spans="1:13" ht="21.75" customHeight="1">
      <c r="A184" s="58" t="s">
        <v>86</v>
      </c>
      <c r="B184" s="233" t="s">
        <v>61</v>
      </c>
      <c r="C184" s="200"/>
      <c r="D184" s="200"/>
      <c r="E184" s="201"/>
      <c r="F184" s="39" t="s">
        <v>62</v>
      </c>
      <c r="G184" s="28"/>
      <c r="H184" s="28"/>
      <c r="I184" s="28"/>
      <c r="J184" s="28"/>
      <c r="K184" s="28"/>
      <c r="L184" s="28"/>
      <c r="M184" s="28"/>
    </row>
    <row r="185" spans="1:13" ht="21.75" customHeight="1">
      <c r="A185" s="62">
        <f>A$35</f>
        <v>1</v>
      </c>
      <c r="B185" s="115" t="str">
        <f>B$35</f>
        <v>09  Doug Cormier/Joe Pearson</v>
      </c>
      <c r="C185" s="56"/>
      <c r="D185" s="56"/>
      <c r="E185" s="55"/>
      <c r="F185" s="116">
        <f>F$35</f>
        <v>35</v>
      </c>
      <c r="G185" s="52"/>
      <c r="H185" s="52"/>
      <c r="I185" s="28"/>
      <c r="J185" s="28"/>
      <c r="K185" s="28"/>
      <c r="L185" s="28"/>
      <c r="M185" s="28"/>
    </row>
    <row r="186" spans="1:13" ht="21.75" customHeight="1">
      <c r="A186" s="62">
        <f>A$36</f>
        <v>2</v>
      </c>
      <c r="B186" s="115" t="str">
        <f>B$36</f>
        <v>01  Gary Bittner/Mike Dauphinais</v>
      </c>
      <c r="C186" s="56"/>
      <c r="D186" s="56"/>
      <c r="E186" s="55"/>
      <c r="F186" s="116">
        <f>F$36</f>
        <v>32</v>
      </c>
      <c r="G186" s="52"/>
      <c r="H186" s="52"/>
      <c r="I186" s="28"/>
      <c r="J186" s="28"/>
      <c r="K186" s="28"/>
      <c r="L186" s="28"/>
      <c r="M186" s="28"/>
    </row>
    <row r="187" spans="1:13" ht="21.75" customHeight="1">
      <c r="A187" s="62">
        <f>A$37</f>
        <v>3</v>
      </c>
      <c r="B187" s="115" t="str">
        <f>B$37</f>
        <v>11  Walter Drake/John Cassin</v>
      </c>
      <c r="C187" s="56"/>
      <c r="D187" s="56"/>
      <c r="E187" s="55"/>
      <c r="F187" s="116">
        <f>F$37</f>
        <v>29</v>
      </c>
      <c r="G187" s="52">
        <v>1</v>
      </c>
      <c r="H187" s="52"/>
      <c r="I187" s="28"/>
      <c r="J187" s="28"/>
      <c r="K187" s="28"/>
      <c r="L187" s="28"/>
      <c r="M187" s="28"/>
    </row>
    <row r="188" spans="1:13" ht="21.75" customHeight="1">
      <c r="A188" s="62" t="str">
        <f>A$38</f>
        <v>4T</v>
      </c>
      <c r="B188" s="115" t="str">
        <f>B$38</f>
        <v>02  Lester Lockhart/Pete Normandin</v>
      </c>
      <c r="C188" s="56"/>
      <c r="D188" s="56"/>
      <c r="E188" s="55"/>
      <c r="F188" s="116">
        <f>F$38</f>
        <v>28.5</v>
      </c>
      <c r="G188" s="52">
        <v>2</v>
      </c>
      <c r="H188" s="52"/>
      <c r="I188" s="28"/>
      <c r="J188" s="28"/>
      <c r="K188" s="28"/>
      <c r="L188" s="28"/>
      <c r="M188" s="28"/>
    </row>
    <row r="189" spans="1:13" ht="21.75" customHeight="1">
      <c r="A189" s="62" t="str">
        <f>A$39</f>
        <v>4T</v>
      </c>
      <c r="B189" s="115" t="str">
        <f>B$39</f>
        <v>03  Ralph Romano/Mike Romano</v>
      </c>
      <c r="C189" s="56"/>
      <c r="D189" s="56"/>
      <c r="E189" s="55"/>
      <c r="F189" s="116">
        <f>F$39</f>
        <v>28.5</v>
      </c>
      <c r="G189" s="52">
        <v>3</v>
      </c>
      <c r="H189" s="52"/>
      <c r="I189" s="28"/>
      <c r="J189" s="28"/>
      <c r="K189" s="28"/>
      <c r="L189" s="28"/>
      <c r="M189" s="28"/>
    </row>
    <row r="190" spans="1:13" ht="21.75" customHeight="1">
      <c r="A190" s="62">
        <f>A$40</f>
        <v>6</v>
      </c>
      <c r="B190" s="115" t="str">
        <f>B$40</f>
        <v>06  Dennis Normandin/Marc Normandin</v>
      </c>
      <c r="C190" s="56"/>
      <c r="D190" s="56"/>
      <c r="E190" s="55"/>
      <c r="F190" s="116">
        <f>F$40</f>
        <v>28</v>
      </c>
      <c r="G190" s="52">
        <v>4</v>
      </c>
      <c r="H190" s="52"/>
      <c r="I190" s="28"/>
      <c r="J190" s="28"/>
      <c r="K190" s="28"/>
      <c r="L190" s="28"/>
      <c r="M190" s="28"/>
    </row>
    <row r="191" spans="1:13" ht="21.75" customHeight="1">
      <c r="A191" s="62">
        <f>A$41</f>
        <v>7</v>
      </c>
      <c r="B191" s="115" t="str">
        <f>B$41</f>
        <v>05  Gary Leavenworth/Patty Leavenworth</v>
      </c>
      <c r="C191" s="56"/>
      <c r="D191" s="56"/>
      <c r="E191" s="55"/>
      <c r="F191" s="116">
        <f>F$41</f>
        <v>27</v>
      </c>
      <c r="G191" s="52">
        <v>5</v>
      </c>
      <c r="H191" s="52"/>
      <c r="I191" s="28"/>
      <c r="J191" s="28"/>
      <c r="K191" s="28"/>
      <c r="L191" s="28"/>
      <c r="M191" s="28"/>
    </row>
    <row r="192" spans="1:13" ht="21.75" customHeight="1">
      <c r="A192" s="62">
        <f>A$42</f>
        <v>8</v>
      </c>
      <c r="B192" s="115" t="str">
        <f>B$42</f>
        <v>04  Peg Romano/Lynn Laroche</v>
      </c>
      <c r="C192" s="56"/>
      <c r="D192" s="56"/>
      <c r="E192" s="55"/>
      <c r="F192" s="116">
        <f>F$42</f>
        <v>26</v>
      </c>
      <c r="G192" s="52">
        <v>6</v>
      </c>
      <c r="H192" s="52"/>
      <c r="I192" s="28"/>
      <c r="J192" s="28"/>
      <c r="K192" s="28"/>
      <c r="L192" s="28"/>
      <c r="M192" s="28"/>
    </row>
    <row r="193" spans="1:13" ht="21.75" customHeight="1">
      <c r="A193" s="62">
        <f>A$43</f>
        <v>9</v>
      </c>
      <c r="B193" s="115" t="str">
        <f>B$43</f>
        <v>08  Paul Fontaine/Yogi DiPasquale</v>
      </c>
      <c r="C193" s="56"/>
      <c r="D193" s="56"/>
      <c r="E193" s="55"/>
      <c r="F193" s="116">
        <f>F$43</f>
        <v>25.5</v>
      </c>
      <c r="G193" s="52">
        <v>7</v>
      </c>
      <c r="H193" s="52"/>
      <c r="I193" s="57"/>
      <c r="J193" s="28"/>
      <c r="K193" s="28"/>
      <c r="L193" s="28"/>
      <c r="M193" s="28"/>
    </row>
    <row r="194" spans="1:13" ht="21.75" customHeight="1">
      <c r="A194" s="62">
        <f>A$44</f>
        <v>10</v>
      </c>
      <c r="B194" s="115" t="str">
        <f>B$44</f>
        <v>07  Pete Romano/Ralph Romano</v>
      </c>
      <c r="C194" s="56"/>
      <c r="D194" s="56"/>
      <c r="E194" s="55"/>
      <c r="F194" s="116">
        <f>F$44</f>
        <v>25</v>
      </c>
      <c r="G194" s="52">
        <v>8</v>
      </c>
      <c r="H194" s="52"/>
      <c r="I194" s="28"/>
      <c r="J194" s="28"/>
      <c r="K194" s="28"/>
      <c r="L194" s="28"/>
      <c r="M194" s="28"/>
    </row>
    <row r="195" spans="1:13" ht="21.75" customHeight="1">
      <c r="A195" s="62">
        <f>A$45</f>
        <v>11</v>
      </c>
      <c r="B195" s="115" t="str">
        <f>B$45</f>
        <v>10  Dave Cormier/Norman Boisvert</v>
      </c>
      <c r="C195" s="56"/>
      <c r="D195" s="56"/>
      <c r="E195" s="55"/>
      <c r="F195" s="116">
        <f>F$45</f>
        <v>20.5</v>
      </c>
      <c r="G195" s="52">
        <v>9</v>
      </c>
      <c r="H195" s="52"/>
      <c r="I195" s="28"/>
      <c r="J195" s="28"/>
      <c r="K195" s="28"/>
      <c r="L195" s="28"/>
      <c r="M195" s="28"/>
    </row>
    <row r="196" spans="1:13" ht="21.75" customHeight="1">
      <c r="A196" s="62">
        <f>A$46</f>
        <v>12</v>
      </c>
      <c r="B196" s="115" t="str">
        <f>B$46</f>
        <v>12  Mike Marlborough/Rich Wilson</v>
      </c>
      <c r="C196" s="56"/>
      <c r="D196" s="56"/>
      <c r="E196" s="55"/>
      <c r="F196" s="116">
        <f>F$46</f>
        <v>18.5</v>
      </c>
      <c r="G196" s="52">
        <v>10</v>
      </c>
      <c r="H196" s="52"/>
      <c r="I196" s="28"/>
      <c r="J196" s="28"/>
      <c r="K196" s="28"/>
      <c r="L196" s="28"/>
      <c r="M196" s="28"/>
    </row>
    <row r="197" spans="1:13" ht="21.75" customHeight="1">
      <c r="A197" s="157"/>
      <c r="B197" s="158"/>
      <c r="C197" s="59"/>
      <c r="D197" s="59"/>
      <c r="E197" s="59"/>
      <c r="F197" s="159"/>
      <c r="G197" s="156"/>
      <c r="H197" s="52"/>
      <c r="I197" s="28"/>
      <c r="J197" s="28"/>
      <c r="K197" s="28"/>
      <c r="L197" s="28"/>
      <c r="M197" s="28"/>
    </row>
    <row r="198" spans="1:13" ht="21.75" customHeight="1">
      <c r="A198" s="157"/>
      <c r="B198" s="158"/>
      <c r="C198" s="59"/>
      <c r="D198" s="59"/>
      <c r="E198" s="59"/>
      <c r="F198" s="159"/>
      <c r="G198" s="156"/>
      <c r="H198" s="52"/>
      <c r="I198" s="28"/>
      <c r="J198" s="28"/>
      <c r="K198" s="28"/>
      <c r="L198" s="28"/>
      <c r="M198" s="28"/>
    </row>
    <row r="199" spans="10:13" ht="21.75" customHeight="1">
      <c r="J199" s="28"/>
      <c r="K199" s="28"/>
      <c r="L199" s="28"/>
      <c r="M199" s="28"/>
    </row>
    <row r="200" spans="10:13" ht="21.75" customHeight="1">
      <c r="J200" s="28"/>
      <c r="K200" s="28"/>
      <c r="L200" s="28"/>
      <c r="M200" s="28"/>
    </row>
    <row r="201" spans="1:14" s="132" customFormat="1" ht="21.75" customHeight="1">
      <c r="A201" s="230" t="s">
        <v>9</v>
      </c>
      <c r="B201" s="231"/>
      <c r="C201" s="231"/>
      <c r="D201" s="231"/>
      <c r="E201" s="231"/>
      <c r="F201" s="231"/>
      <c r="G201" s="231"/>
      <c r="H201" s="231"/>
      <c r="I201" s="231"/>
      <c r="J201" s="231"/>
      <c r="K201" s="231"/>
      <c r="L201" s="231"/>
      <c r="M201" s="232"/>
      <c r="N201" s="134"/>
    </row>
    <row r="202" spans="1:14" s="132" customFormat="1" ht="21.75" customHeight="1">
      <c r="A202" s="202" t="str">
        <f>"Romano Golf League - "&amp;N206&amp;" - "&amp;N208&amp;" - "&amp;TEXT(N207,"MMM dd, yyyy")</f>
        <v>Romano Golf League - Week 3 - FRONT - Jul 05, 2006</v>
      </c>
      <c r="B202" s="203"/>
      <c r="C202" s="203"/>
      <c r="D202" s="203"/>
      <c r="E202" s="203"/>
      <c r="F202" s="203"/>
      <c r="G202" s="203"/>
      <c r="H202" s="203"/>
      <c r="I202" s="203"/>
      <c r="J202" s="203"/>
      <c r="K202" s="203"/>
      <c r="L202" s="203"/>
      <c r="M202" s="204"/>
      <c r="N202" s="134"/>
    </row>
    <row r="203" spans="1:14" s="132" customFormat="1" ht="21.75" customHeight="1">
      <c r="A203" s="205"/>
      <c r="B203" s="205"/>
      <c r="C203" s="205"/>
      <c r="D203" s="205"/>
      <c r="E203" s="205"/>
      <c r="F203" s="205"/>
      <c r="G203" s="205"/>
      <c r="H203" s="205"/>
      <c r="I203" s="205"/>
      <c r="J203" s="205"/>
      <c r="K203" s="205"/>
      <c r="L203" s="205"/>
      <c r="M203" s="205"/>
      <c r="N203" s="134"/>
    </row>
    <row r="204" spans="1:14" s="132" customFormat="1" ht="21.75" customHeight="1">
      <c r="A204" s="228" t="s">
        <v>10</v>
      </c>
      <c r="B204" s="228"/>
      <c r="C204" s="228"/>
      <c r="D204" s="77">
        <f>IF(LEFT($N$8)="F",1,IF(LEFT($N$8)="B",10,"ERROR"))</f>
        <v>1</v>
      </c>
      <c r="E204" s="77">
        <f>IF(LEFT($N$8)="F",2,IF(LEFT($N$8)="B",11,"ERROR"))</f>
        <v>2</v>
      </c>
      <c r="F204" s="77">
        <f>IF(LEFT($N$8)="F",3,IF(LEFT($N$8)="B",12,"ERROR"))</f>
        <v>3</v>
      </c>
      <c r="G204" s="77">
        <f>IF(LEFT($N$8)="F",4,IF(LEFT($N$8)="B",13,"ERROR"))</f>
        <v>4</v>
      </c>
      <c r="H204" s="77">
        <f>IF(LEFT($N$8)="F",5,IF(LEFT($N$8)="B",14,"ERROR"))</f>
        <v>5</v>
      </c>
      <c r="I204" s="77">
        <f>IF(LEFT($N$8)="F",6,IF(LEFT($N$8)="B",15,"ERROR"))</f>
        <v>6</v>
      </c>
      <c r="J204" s="77">
        <f>IF(LEFT($N$8)="F",7,IF(LEFT($N$8)="B",16,"ERROR"))</f>
        <v>7</v>
      </c>
      <c r="K204" s="77">
        <f>IF(LEFT($N$8)="F",8,IF(LEFT($N$8)="B",17,"ERROR"))</f>
        <v>8</v>
      </c>
      <c r="L204" s="77">
        <f>IF(LEFT($N$8)="F",9,IF(LEFT($N$8)="B",18,"ERROR"))</f>
        <v>9</v>
      </c>
      <c r="M204" s="77" t="str">
        <f>IF(LEFT($N$8)="F","OUT",IF(LEFT($N$8)="B","IN","ERROR"))</f>
        <v>OUT</v>
      </c>
      <c r="N204" s="134"/>
    </row>
    <row r="205" spans="1:14" s="132" customFormat="1" ht="21.75" customHeight="1">
      <c r="A205" s="229" t="s">
        <v>11</v>
      </c>
      <c r="B205" s="229"/>
      <c r="C205" s="229"/>
      <c r="D205" s="78">
        <f>IF(D204=1,460,IF(D204=10,345,"ERROR"))</f>
        <v>460</v>
      </c>
      <c r="E205" s="78">
        <f>IF(E204=2,275,IF(E204=11,220,"ERROR"))</f>
        <v>275</v>
      </c>
      <c r="F205" s="78">
        <f>IF(F204=3,525,IF(F204=12,330,"ERROR"))</f>
        <v>525</v>
      </c>
      <c r="G205" s="78">
        <f>IF(G204=4,295,IF(G204=13,435,"ERROR"))</f>
        <v>295</v>
      </c>
      <c r="H205" s="78">
        <f>IF(H204=5,345,IF(H204=14,145,"ERROR"))</f>
        <v>345</v>
      </c>
      <c r="I205" s="78">
        <f>IF(I204=6,175,IF(I204=15,315,"ERROR"))</f>
        <v>175</v>
      </c>
      <c r="J205" s="78">
        <f>IF(J204=7,405,IF(J204=16,130,"ERROR"))</f>
        <v>405</v>
      </c>
      <c r="K205" s="78">
        <f>IF(K204=8,145,IF(K204=17,300,"ERROR"))</f>
        <v>145</v>
      </c>
      <c r="L205" s="78">
        <f>IF(L204=9,320,IF(L204=18,340,"ERROR"))</f>
        <v>320</v>
      </c>
      <c r="M205" s="78">
        <f>SUM(D205:L205)</f>
        <v>2945</v>
      </c>
      <c r="N205" s="134"/>
    </row>
    <row r="206" spans="1:14" s="132" customFormat="1" ht="21.75" customHeight="1">
      <c r="A206" s="216" t="s">
        <v>17</v>
      </c>
      <c r="B206" s="216"/>
      <c r="C206" s="216"/>
      <c r="D206" s="78">
        <f>IF(D$4=1,5,IF(D$4=10,5,"ERROR"))</f>
        <v>5</v>
      </c>
      <c r="E206" s="78">
        <f>IF(E204=2,4,IF(E204=11,4,"ERROR"))</f>
        <v>4</v>
      </c>
      <c r="F206" s="78">
        <f>IF(F204=3,5,IF(F204=12,4,"ERROR"))</f>
        <v>5</v>
      </c>
      <c r="G206" s="78">
        <f>IF(G204=4,4,IF(G204=13,5,"ERROR"))</f>
        <v>4</v>
      </c>
      <c r="H206" s="78">
        <f>IF(H204=5,4,IF(H204=14,3,"ERROR"))</f>
        <v>4</v>
      </c>
      <c r="I206" s="78">
        <f>IF(I204=6,3,IF(I204=15,4,"ERROR"))</f>
        <v>3</v>
      </c>
      <c r="J206" s="78">
        <f>IF(J204=7,4,IF(J204=16,3,"ERROR"))</f>
        <v>4</v>
      </c>
      <c r="K206" s="78">
        <f>IF(K204=8,3,IF(K204=17,4,"ERROR"))</f>
        <v>3</v>
      </c>
      <c r="L206" s="78">
        <f>IF(L204=9,4,IF(L204=18,4,"ERROR"))</f>
        <v>4</v>
      </c>
      <c r="M206" s="78">
        <f>SUM(D206:L206)</f>
        <v>36</v>
      </c>
      <c r="N206" s="135" t="str">
        <f>$N$6</f>
        <v>Week 3</v>
      </c>
    </row>
    <row r="207" spans="1:14" s="132" customFormat="1" ht="21.75" customHeight="1">
      <c r="A207" s="225" t="s">
        <v>16</v>
      </c>
      <c r="B207" s="226"/>
      <c r="C207" s="226"/>
      <c r="D207" s="79">
        <f>IF(D$4=1,5,IF(D$4=10,6,"ERROR"))</f>
        <v>5</v>
      </c>
      <c r="E207" s="79">
        <f>IF(E204=2,7,IF(E204=11,10,"ERROR"))</f>
        <v>7</v>
      </c>
      <c r="F207" s="79">
        <f>IF(F204=3,3,IF(F204=12,8,"ERROR"))</f>
        <v>3</v>
      </c>
      <c r="G207" s="79">
        <f>IF(G204=4,9,IF(G204=13,4,"ERROR"))</f>
        <v>9</v>
      </c>
      <c r="H207" s="79">
        <f>IF(H204=5,11,IF(H204=14,16,"ERROR"))</f>
        <v>11</v>
      </c>
      <c r="I207" s="79">
        <f>IF(I204=6,17,IF(I204=15,12,"ERROR"))</f>
        <v>17</v>
      </c>
      <c r="J207" s="79">
        <f>IF(J204=7,1,IF(J204=16,18,"ERROR"))</f>
        <v>1</v>
      </c>
      <c r="K207" s="79">
        <f>IF(K204=8,15,IF(K204=17,14,"ERROR"))</f>
        <v>15</v>
      </c>
      <c r="L207" s="79">
        <f>IF(L204=9,13,IF(L204=18,2,"ERROR"))</f>
        <v>13</v>
      </c>
      <c r="M207" s="80"/>
      <c r="N207" s="136">
        <f>$N$7</f>
        <v>38903</v>
      </c>
    </row>
    <row r="208" spans="1:14" s="132" customFormat="1" ht="21.75" customHeight="1">
      <c r="A208" s="213" t="s">
        <v>12</v>
      </c>
      <c r="B208" s="213"/>
      <c r="C208" s="213"/>
      <c r="D208" s="75">
        <f>IF(D204=1,375,IF(D204=10,290,"ERROR"))</f>
        <v>375</v>
      </c>
      <c r="E208" s="75">
        <f>IF(E204=2,250,IF(E204=11,200,"ERROR"))</f>
        <v>250</v>
      </c>
      <c r="F208" s="75">
        <f>IF(F204=3,475,IF(F204=12,205,"ERROR"))</f>
        <v>475</v>
      </c>
      <c r="G208" s="75">
        <f>IF(G204=4,255,IF(G204=13,350,"ERROR"))</f>
        <v>255</v>
      </c>
      <c r="H208" s="75">
        <f>IF(H204=5,325,IF(H204=14,140,"ERROR"))</f>
        <v>325</v>
      </c>
      <c r="I208" s="75">
        <f>IF(I204=6,155,IF(I204=15,290,"ERROR"))</f>
        <v>155</v>
      </c>
      <c r="J208" s="75">
        <f>IF(J204=7,375,IF(J204=16,125,"ERROR"))</f>
        <v>375</v>
      </c>
      <c r="K208" s="75">
        <f>IF(K204=8,130,IF(K204=17,255,"ERROR"))</f>
        <v>130</v>
      </c>
      <c r="L208" s="75">
        <f>IF(L204=9,290,IF(L204=18,280,"ERROR"))</f>
        <v>290</v>
      </c>
      <c r="M208" s="76">
        <f>SUM(D208:L208)</f>
        <v>2630</v>
      </c>
      <c r="N208" s="137" t="str">
        <f>$N$8</f>
        <v>FRONT</v>
      </c>
    </row>
    <row r="209" spans="1:15" s="132" customFormat="1" ht="21.75" customHeight="1">
      <c r="A209" s="216" t="s">
        <v>15</v>
      </c>
      <c r="B209" s="216"/>
      <c r="C209" s="216"/>
      <c r="D209" s="78">
        <f>IF(D$4=1,5,IF(D$4=10,4,"ERROR"))</f>
        <v>5</v>
      </c>
      <c r="E209" s="78">
        <f>IF(E$4=2,4,IF(E$4=11,4,"ERROR"))</f>
        <v>4</v>
      </c>
      <c r="F209" s="78">
        <f>IF(F$4=3,5,IF(F$4=12,4,"ERROR"))</f>
        <v>5</v>
      </c>
      <c r="G209" s="78">
        <f>IF(G$4=4,4,IF(G$4=13,5,"ERROR"))</f>
        <v>4</v>
      </c>
      <c r="H209" s="78">
        <f>IF(H$4=5,4,IF(H$4=14,3,"ERROR"))</f>
        <v>4</v>
      </c>
      <c r="I209" s="78">
        <f>IF(I$4=6,3,IF(I$4=15,4,"ERROR"))</f>
        <v>3</v>
      </c>
      <c r="J209" s="78">
        <f>IF(J$4=7,5,IF(J$4=16,3,"ERROR"))</f>
        <v>5</v>
      </c>
      <c r="K209" s="78">
        <f>IF(K$4=8,3,IF(K$4=17,4,"ERROR"))</f>
        <v>3</v>
      </c>
      <c r="L209" s="78">
        <f>IF(L$4=9,4,IF(L$4=18,4,"ERROR"))</f>
        <v>4</v>
      </c>
      <c r="M209" s="78">
        <f>SUM(D209:L209)</f>
        <v>37</v>
      </c>
      <c r="N209" s="135">
        <v>0.209722222222222</v>
      </c>
      <c r="O209" s="133"/>
    </row>
    <row r="210" spans="1:14" s="132" customFormat="1" ht="21.75" customHeight="1">
      <c r="A210" s="81" t="s">
        <v>0</v>
      </c>
      <c r="B210" s="81" t="s">
        <v>1</v>
      </c>
      <c r="C210" s="82" t="s">
        <v>13</v>
      </c>
      <c r="D210" s="83">
        <f>IF(D$4=1,5,IF(D$4=10,4,"ERROR"))</f>
        <v>5</v>
      </c>
      <c r="E210" s="83">
        <f>IF(E$4=2,7,IF(E$4=11,2,"ERROR"))</f>
        <v>7</v>
      </c>
      <c r="F210" s="83">
        <f>IF(F$4=3,3,IF(F$4=12,8,"ERROR"))</f>
        <v>3</v>
      </c>
      <c r="G210" s="83">
        <f>IF(G$4=4,9,IF(G$4=13,6,"ERROR"))</f>
        <v>9</v>
      </c>
      <c r="H210" s="83">
        <f>IF(H$4=5,11,IF(H$4=14,16,"ERROR"))</f>
        <v>11</v>
      </c>
      <c r="I210" s="83">
        <f>IF(I$4=6,17,IF(I$4=15,12,"ERROR"))</f>
        <v>17</v>
      </c>
      <c r="J210" s="83">
        <f>IF(J$4=7,1,IF(J$4=16,18,"ERROR"))</f>
        <v>1</v>
      </c>
      <c r="K210" s="83">
        <f>IF(K$4=8,15,IF(K$4=17,14,"ERROR"))</f>
        <v>15</v>
      </c>
      <c r="L210" s="83">
        <f>IF(L$4=9,13,IF(L$4=18,10,"ERROR"))</f>
        <v>13</v>
      </c>
      <c r="M210" s="84"/>
      <c r="N210" s="137" t="str">
        <f>VLOOKUP(N209,'SCHEDULE &amp; POINTS'!$B$8:$I$14,RIGHT($N$6)+1,FALSE)</f>
        <v>7 v 9</v>
      </c>
    </row>
    <row r="211" spans="1:13" ht="12.75" customHeight="1">
      <c r="A211" s="27"/>
      <c r="B211" s="73"/>
      <c r="C211" s="27"/>
      <c r="D211" s="38">
        <f>IF($B225-9&gt;=IF(VLOOKUP($B212,'SCORES &amp; HANDICAP CALCULATOR'!$B$3:$E$67,3,FALSE)="F",D$24,D$23),2,IF($B225&gt;=IF(VLOOKUP($B212,'SCORES &amp; HANDICAP CALCULATOR'!$B$3:$E$67,3,FALSE)="F",D$24,D$23),1,0))</f>
        <v>1</v>
      </c>
      <c r="E211" s="38">
        <f>IF($B225-9&gt;=IF(VLOOKUP($B212,'SCORES &amp; HANDICAP CALCULATOR'!$B$3:$E$67,3,FALSE)="F",E$24,E$23),2,IF($B225&gt;=IF(VLOOKUP($B212,'SCORES &amp; HANDICAP CALCULATOR'!$B$3:$E$67,3,FALSE)="F",E$24,E$23),1,0))</f>
        <v>1</v>
      </c>
      <c r="F211" s="38">
        <f>IF($B225-9&gt;=IF(VLOOKUP($B212,'SCORES &amp; HANDICAP CALCULATOR'!$B$3:$E$67,3,FALSE)="F",F$24,F$23),2,IF($B225&gt;=IF(VLOOKUP($B212,'SCORES &amp; HANDICAP CALCULATOR'!$B$3:$E$67,3,FALSE)="F",F$24,F$23),1,0))</f>
        <v>1</v>
      </c>
      <c r="G211" s="38">
        <f>IF($B225-9&gt;=IF(VLOOKUP($B212,'SCORES &amp; HANDICAP CALCULATOR'!$B$3:$E$67,3,FALSE)="F",G$24,G$23),2,IF($B225&gt;=IF(VLOOKUP($B212,'SCORES &amp; HANDICAP CALCULATOR'!$B$3:$E$67,3,FALSE)="F",G$24,G$23),1,0))</f>
        <v>1</v>
      </c>
      <c r="H211" s="38">
        <f>IF($B225-9&gt;=IF(VLOOKUP($B212,'SCORES &amp; HANDICAP CALCULATOR'!$B$3:$E$67,3,FALSE)="F",H$24,H$23),2,IF($B225&gt;=IF(VLOOKUP($B212,'SCORES &amp; HANDICAP CALCULATOR'!$B$3:$E$67,3,FALSE)="F",H$24,H$23),1,0))</f>
        <v>1</v>
      </c>
      <c r="I211" s="38">
        <f>IF($B225-9&gt;=IF(VLOOKUP($B212,'SCORES &amp; HANDICAP CALCULATOR'!$B$3:$E$67,3,FALSE)="F",I$24,I$23),2,IF($B225&gt;=IF(VLOOKUP($B212,'SCORES &amp; HANDICAP CALCULATOR'!$B$3:$E$67,3,FALSE)="F",I$24,I$23),1,0))</f>
        <v>1</v>
      </c>
      <c r="J211" s="38">
        <f>IF($B225-9&gt;=IF(VLOOKUP($B212,'SCORES &amp; HANDICAP CALCULATOR'!$B$3:$E$67,3,FALSE)="F",J$24,J$23),2,IF($B225&gt;=IF(VLOOKUP($B212,'SCORES &amp; HANDICAP CALCULATOR'!$B$3:$E$67,3,FALSE)="F",J$24,J$23),1,0))</f>
        <v>1</v>
      </c>
      <c r="K211" s="38">
        <f>IF($B225-9&gt;=IF(VLOOKUP($B212,'SCORES &amp; HANDICAP CALCULATOR'!$B$3:$E$67,3,FALSE)="F",K$24,K$23),2,IF($B225&gt;=IF(VLOOKUP($B212,'SCORES &amp; HANDICAP CALCULATOR'!$B$3:$E$67,3,FALSE)="F",K$24,K$23),1,0))</f>
        <v>1</v>
      </c>
      <c r="L211" s="38">
        <f>IF($B225-9&gt;=IF(VLOOKUP($B212,'SCORES &amp; HANDICAP CALCULATOR'!$B$3:$E$67,3,FALSE)="F",L$24,L$23),2,IF($B225&gt;=IF(VLOOKUP($B212,'SCORES &amp; HANDICAP CALCULATOR'!$B$3:$E$67,3,FALSE)="F",L$24,L$23),1,0))</f>
        <v>1</v>
      </c>
      <c r="M211" s="38">
        <f>SUM(D211:L211)</f>
        <v>9</v>
      </c>
    </row>
    <row r="212" spans="1:14" ht="34.5" customHeight="1">
      <c r="A212" s="54">
        <f>VLOOKUP(B212,'SCORES &amp; HANDICAP CALCULATOR'!$B$3:$E$67,4,FALSE)</f>
        <v>11</v>
      </c>
      <c r="B212" s="54" t="str">
        <f>N212&amp;"A"</f>
        <v>7A</v>
      </c>
      <c r="C212" s="54" t="str">
        <f>VLOOKUP(B212,'SCORES &amp; HANDICAP CALCULATOR'!$B$3:$E$50,2,FALSE)</f>
        <v>Pete Romano</v>
      </c>
      <c r="D212" s="29"/>
      <c r="E212" s="30"/>
      <c r="F212" s="30"/>
      <c r="G212" s="30"/>
      <c r="H212" s="30"/>
      <c r="I212" s="30"/>
      <c r="J212" s="30"/>
      <c r="K212" s="30"/>
      <c r="L212" s="30"/>
      <c r="M212" s="30"/>
      <c r="N212" s="9" t="str">
        <f>LEFT(SUBSTITUTE(N210," v ",","),FIND(",",SUBSTITUTE(N210," v ",","))-1)</f>
        <v>7</v>
      </c>
    </row>
    <row r="213" spans="1:13" ht="12.75" customHeight="1">
      <c r="A213" s="27"/>
      <c r="B213" s="70"/>
      <c r="C213" s="27"/>
      <c r="D213" s="38">
        <f>IF($B226-9&gt;=IF(VLOOKUP($B214,'SCORES &amp; HANDICAP CALCULATOR'!$B$3:$E$67,3,FALSE)="F",D$24,D$23),2,IF($B226&gt;=IF(VLOOKUP($B214,'SCORES &amp; HANDICAP CALCULATOR'!$B$3:$E$67,3,FALSE)="F",D$24,D$23),1,0))</f>
        <v>2</v>
      </c>
      <c r="E213" s="38">
        <f>IF($B226-9&gt;=IF(VLOOKUP($B214,'SCORES &amp; HANDICAP CALCULATOR'!$B$3:$E$67,3,FALSE)="F",E$24,E$23),2,IF($B226&gt;=IF(VLOOKUP($B214,'SCORES &amp; HANDICAP CALCULATOR'!$B$3:$E$67,3,FALSE)="F",E$24,E$23),1,0))</f>
        <v>2</v>
      </c>
      <c r="F213" s="38">
        <f>IF($B226-9&gt;=IF(VLOOKUP($B214,'SCORES &amp; HANDICAP CALCULATOR'!$B$3:$E$67,3,FALSE)="F",F$24,F$23),2,IF($B226&gt;=IF(VLOOKUP($B214,'SCORES &amp; HANDICAP CALCULATOR'!$B$3:$E$67,3,FALSE)="F",F$24,F$23),1,0))</f>
        <v>2</v>
      </c>
      <c r="G213" s="38">
        <f>IF($B226-9&gt;=IF(VLOOKUP($B214,'SCORES &amp; HANDICAP CALCULATOR'!$B$3:$E$67,3,FALSE)="F",G$24,G$23),2,IF($B226&gt;=IF(VLOOKUP($B214,'SCORES &amp; HANDICAP CALCULATOR'!$B$3:$E$67,3,FALSE)="F",G$24,G$23),1,0))</f>
        <v>2</v>
      </c>
      <c r="H213" s="38">
        <f>IF($B226-9&gt;=IF(VLOOKUP($B214,'SCORES &amp; HANDICAP CALCULATOR'!$B$3:$E$67,3,FALSE)="F",H$24,H$23),2,IF($B226&gt;=IF(VLOOKUP($B214,'SCORES &amp; HANDICAP CALCULATOR'!$B$3:$E$67,3,FALSE)="F",H$24,H$23),1,0))</f>
        <v>2</v>
      </c>
      <c r="I213" s="38">
        <f>IF($B226-9&gt;=IF(VLOOKUP($B214,'SCORES &amp; HANDICAP CALCULATOR'!$B$3:$E$67,3,FALSE)="F",I$24,I$23),2,IF($B226&gt;=IF(VLOOKUP($B214,'SCORES &amp; HANDICAP CALCULATOR'!$B$3:$E$67,3,FALSE)="F",I$24,I$23),1,0))</f>
        <v>2</v>
      </c>
      <c r="J213" s="38">
        <f>IF($B226-9&gt;=IF(VLOOKUP($B214,'SCORES &amp; HANDICAP CALCULATOR'!$B$3:$E$67,3,FALSE)="F",J$24,J$23),2,IF($B226&gt;=IF(VLOOKUP($B214,'SCORES &amp; HANDICAP CALCULATOR'!$B$3:$E$67,3,FALSE)="F",J$24,J$23),1,0))</f>
        <v>2</v>
      </c>
      <c r="K213" s="38">
        <f>IF($B226-9&gt;=IF(VLOOKUP($B214,'SCORES &amp; HANDICAP CALCULATOR'!$B$3:$E$67,3,FALSE)="F",K$24,K$23),2,IF($B226&gt;=IF(VLOOKUP($B214,'SCORES &amp; HANDICAP CALCULATOR'!$B$3:$E$67,3,FALSE)="F",K$24,K$23),1,0))</f>
        <v>2</v>
      </c>
      <c r="L213" s="38">
        <f>IF($B226-9&gt;=IF(VLOOKUP($B214,'SCORES &amp; HANDICAP CALCULATOR'!$B$3:$E$67,3,FALSE)="F",L$24,L$23),2,IF($B226&gt;=IF(VLOOKUP($B214,'SCORES &amp; HANDICAP CALCULATOR'!$B$3:$E$67,3,FALSE)="F",L$24,L$23),1,0))</f>
        <v>2</v>
      </c>
      <c r="M213" s="38">
        <f>SUM(D213:L213)</f>
        <v>18</v>
      </c>
    </row>
    <row r="214" spans="1:13" ht="34.5" customHeight="1">
      <c r="A214" s="54">
        <f>VLOOKUP(B214,'SCORES &amp; HANDICAP CALCULATOR'!$B$3:$E$67,4,FALSE)</f>
        <v>20</v>
      </c>
      <c r="B214" s="54" t="str">
        <f>N212&amp;"B"</f>
        <v>7B</v>
      </c>
      <c r="C214" s="54" t="str">
        <f>VLOOKUP(B214,'SCORES &amp; HANDICAP CALCULATOR'!$B$3:$E$50,2,FALSE)</f>
        <v>Ralph Romano</v>
      </c>
      <c r="D214" s="29"/>
      <c r="E214" s="30"/>
      <c r="F214" s="30"/>
      <c r="G214" s="30"/>
      <c r="H214" s="30"/>
      <c r="I214" s="30"/>
      <c r="J214" s="30"/>
      <c r="K214" s="30"/>
      <c r="L214" s="30"/>
      <c r="M214" s="30"/>
    </row>
    <row r="215" spans="1:13" ht="21.75" customHeight="1">
      <c r="A215" s="31"/>
      <c r="B215" s="71"/>
      <c r="C215" s="217" t="s">
        <v>87</v>
      </c>
      <c r="D215" s="32"/>
      <c r="E215" s="32"/>
      <c r="F215" s="32"/>
      <c r="G215" s="32"/>
      <c r="H215" s="32"/>
      <c r="I215" s="32"/>
      <c r="J215" s="32"/>
      <c r="K215" s="32"/>
      <c r="L215" s="32"/>
      <c r="M215" s="61"/>
    </row>
    <row r="216" spans="1:13" ht="21.75" customHeight="1">
      <c r="A216" s="33"/>
      <c r="B216" s="72"/>
      <c r="C216" s="218"/>
      <c r="D216" s="32"/>
      <c r="E216" s="32"/>
      <c r="F216" s="32"/>
      <c r="G216" s="32"/>
      <c r="H216" s="32"/>
      <c r="I216" s="32"/>
      <c r="J216" s="32"/>
      <c r="K216" s="32"/>
      <c r="L216" s="32"/>
      <c r="M216" s="61"/>
    </row>
    <row r="217" spans="1:13" ht="12.75" customHeight="1">
      <c r="A217" s="27"/>
      <c r="B217" s="70"/>
      <c r="C217" s="27"/>
      <c r="D217" s="38">
        <f>IF($B228-9&gt;=IF(VLOOKUP($B218,'SCORES &amp; HANDICAP CALCULATOR'!$B$3:$E$67,3,FALSE)="F",D$24,D$23),2,IF($B228&gt;=IF(VLOOKUP($B218,'SCORES &amp; HANDICAP CALCULATOR'!$B$3:$E$67,3,FALSE)="F",D$24,D$23),1,0))</f>
        <v>0</v>
      </c>
      <c r="E217" s="38">
        <f>IF($B228-9&gt;=IF(VLOOKUP($B218,'SCORES &amp; HANDICAP CALCULATOR'!$B$3:$E$67,3,FALSE)="F",E$24,E$23),2,IF($B228&gt;=IF(VLOOKUP($B218,'SCORES &amp; HANDICAP CALCULATOR'!$B$3:$E$67,3,FALSE)="F",E$24,E$23),1,0))</f>
        <v>0</v>
      </c>
      <c r="F217" s="38">
        <f>IF($B228-9&gt;=IF(VLOOKUP($B218,'SCORES &amp; HANDICAP CALCULATOR'!$B$3:$E$67,3,FALSE)="F",F$24,F$23),2,IF($B228&gt;=IF(VLOOKUP($B218,'SCORES &amp; HANDICAP CALCULATOR'!$B$3:$E$67,3,FALSE)="F",F$24,F$23),1,0))</f>
        <v>0</v>
      </c>
      <c r="G217" s="38">
        <f>IF($B228-9&gt;=IF(VLOOKUP($B218,'SCORES &amp; HANDICAP CALCULATOR'!$B$3:$E$67,3,FALSE)="F",G$24,G$23),2,IF($B228&gt;=IF(VLOOKUP($B218,'SCORES &amp; HANDICAP CALCULATOR'!$B$3:$E$67,3,FALSE)="F",G$24,G$23),1,0))</f>
        <v>0</v>
      </c>
      <c r="H217" s="38">
        <f>IF($B228-9&gt;=IF(VLOOKUP($B218,'SCORES &amp; HANDICAP CALCULATOR'!$B$3:$E$67,3,FALSE)="F",H$24,H$23),2,IF($B228&gt;=IF(VLOOKUP($B218,'SCORES &amp; HANDICAP CALCULATOR'!$B$3:$E$67,3,FALSE)="F",H$24,H$23),1,0))</f>
        <v>0</v>
      </c>
      <c r="I217" s="38">
        <f>IF($B228-9&gt;=IF(VLOOKUP($B218,'SCORES &amp; HANDICAP CALCULATOR'!$B$3:$E$67,3,FALSE)="F",I$24,I$23),2,IF($B228&gt;=IF(VLOOKUP($B218,'SCORES &amp; HANDICAP CALCULATOR'!$B$3:$E$67,3,FALSE)="F",I$24,I$23),1,0))</f>
        <v>0</v>
      </c>
      <c r="J217" s="38">
        <f>IF($B228-9&gt;=IF(VLOOKUP($B218,'SCORES &amp; HANDICAP CALCULATOR'!$B$3:$E$67,3,FALSE)="F",J$24,J$23),2,IF($B228&gt;=IF(VLOOKUP($B218,'SCORES &amp; HANDICAP CALCULATOR'!$B$3:$E$67,3,FALSE)="F",J$24,J$23),1,0))</f>
        <v>0</v>
      </c>
      <c r="K217" s="38">
        <f>IF($B228-9&gt;=IF(VLOOKUP($B218,'SCORES &amp; HANDICAP CALCULATOR'!$B$3:$E$67,3,FALSE)="F",K$24,K$23),2,IF($B228&gt;=IF(VLOOKUP($B218,'SCORES &amp; HANDICAP CALCULATOR'!$B$3:$E$67,3,FALSE)="F",K$24,K$23),1,0))</f>
        <v>0</v>
      </c>
      <c r="L217" s="38">
        <f>IF($B228-9&gt;=IF(VLOOKUP($B218,'SCORES &amp; HANDICAP CALCULATOR'!$B$3:$E$67,3,FALSE)="F",L$24,L$23),2,IF($B228&gt;=IF(VLOOKUP($B218,'SCORES &amp; HANDICAP CALCULATOR'!$B$3:$E$67,3,FALSE)="F",L$24,L$23),1,0))</f>
        <v>0</v>
      </c>
      <c r="M217" s="38">
        <f>SUM(D217:L217)</f>
        <v>0</v>
      </c>
    </row>
    <row r="218" spans="1:14" ht="34.5" customHeight="1">
      <c r="A218" s="54">
        <f>VLOOKUP(B218,'SCORES &amp; HANDICAP CALCULATOR'!$B$3:$E$67,4,FALSE)</f>
        <v>2</v>
      </c>
      <c r="B218" s="54" t="str">
        <f>N218&amp;"A"</f>
        <v>9A</v>
      </c>
      <c r="C218" s="54" t="str">
        <f>VLOOKUP(B218,'SCORES &amp; HANDICAP CALCULATOR'!$B$3:$E$50,2,FALSE)</f>
        <v>Doug Cormier</v>
      </c>
      <c r="D218" s="29"/>
      <c r="E218" s="30"/>
      <c r="F218" s="30"/>
      <c r="G218" s="30"/>
      <c r="H218" s="30"/>
      <c r="I218" s="30"/>
      <c r="J218" s="30"/>
      <c r="K218" s="30"/>
      <c r="L218" s="30"/>
      <c r="M218" s="30"/>
      <c r="N218" s="9" t="str">
        <f>RIGHT(SUBSTITUTE(N210," v ",","),LEN(SUBSTITUTE(N210," v ",","))-FIND(",",SUBSTITUTE(N210," v ",",")))</f>
        <v>9</v>
      </c>
    </row>
    <row r="219" spans="1:13" ht="12.75" customHeight="1">
      <c r="A219" s="27"/>
      <c r="B219" s="70"/>
      <c r="C219" s="27"/>
      <c r="D219" s="38">
        <f>IF($B229-9&gt;=IF(VLOOKUP($B220,'SCORES &amp; HANDICAP CALCULATOR'!$B$3:$E$67,3,FALSE)="F",D$24,D$23),2,IF($B229&gt;=IF(VLOOKUP($B220,'SCORES &amp; HANDICAP CALCULATOR'!$B$3:$E$67,3,FALSE)="F",D$24,D$23),1,0))</f>
        <v>1</v>
      </c>
      <c r="E219" s="38">
        <f>IF($B229-9&gt;=IF(VLOOKUP($B220,'SCORES &amp; HANDICAP CALCULATOR'!$B$3:$E$67,3,FALSE)="F",E$24,E$23),2,IF($B229&gt;=IF(VLOOKUP($B220,'SCORES &amp; HANDICAP CALCULATOR'!$B$3:$E$67,3,FALSE)="F",E$24,E$23),1,0))</f>
        <v>1</v>
      </c>
      <c r="F219" s="38">
        <f>IF($B229-9&gt;=IF(VLOOKUP($B220,'SCORES &amp; HANDICAP CALCULATOR'!$B$3:$E$67,3,FALSE)="F",F$24,F$23),2,IF($B229&gt;=IF(VLOOKUP($B220,'SCORES &amp; HANDICAP CALCULATOR'!$B$3:$E$67,3,FALSE)="F",F$24,F$23),1,0))</f>
        <v>1</v>
      </c>
      <c r="G219" s="38">
        <f>IF($B229-9&gt;=IF(VLOOKUP($B220,'SCORES &amp; HANDICAP CALCULATOR'!$B$3:$E$67,3,FALSE)="F",G$24,G$23),2,IF($B229&gt;=IF(VLOOKUP($B220,'SCORES &amp; HANDICAP CALCULATOR'!$B$3:$E$67,3,FALSE)="F",G$24,G$23),1,0))</f>
        <v>1</v>
      </c>
      <c r="H219" s="38">
        <f>IF($B229-9&gt;=IF(VLOOKUP($B220,'SCORES &amp; HANDICAP CALCULATOR'!$B$3:$E$67,3,FALSE)="F",H$24,H$23),2,IF($B229&gt;=IF(VLOOKUP($B220,'SCORES &amp; HANDICAP CALCULATOR'!$B$3:$E$67,3,FALSE)="F",H$24,H$23),1,0))</f>
        <v>1</v>
      </c>
      <c r="I219" s="38">
        <f>IF($B229-9&gt;=IF(VLOOKUP($B220,'SCORES &amp; HANDICAP CALCULATOR'!$B$3:$E$67,3,FALSE)="F",I$24,I$23),2,IF($B229&gt;=IF(VLOOKUP($B220,'SCORES &amp; HANDICAP CALCULATOR'!$B$3:$E$67,3,FALSE)="F",I$24,I$23),1,0))</f>
        <v>0</v>
      </c>
      <c r="J219" s="38">
        <f>IF($B229-9&gt;=IF(VLOOKUP($B220,'SCORES &amp; HANDICAP CALCULATOR'!$B$3:$E$67,3,FALSE)="F",J$24,J$23),2,IF($B229&gt;=IF(VLOOKUP($B220,'SCORES &amp; HANDICAP CALCULATOR'!$B$3:$E$67,3,FALSE)="F",J$24,J$23),1,0))</f>
        <v>1</v>
      </c>
      <c r="K219" s="38">
        <f>IF($B229-9&gt;=IF(VLOOKUP($B220,'SCORES &amp; HANDICAP CALCULATOR'!$B$3:$E$67,3,FALSE)="F",K$24,K$23),2,IF($B229&gt;=IF(VLOOKUP($B220,'SCORES &amp; HANDICAP CALCULATOR'!$B$3:$E$67,3,FALSE)="F",K$24,K$23),1,0))</f>
        <v>1</v>
      </c>
      <c r="L219" s="38">
        <f>IF($B229-9&gt;=IF(VLOOKUP($B220,'SCORES &amp; HANDICAP CALCULATOR'!$B$3:$E$67,3,FALSE)="F",L$24,L$23),2,IF($B229&gt;=IF(VLOOKUP($B220,'SCORES &amp; HANDICAP CALCULATOR'!$B$3:$E$67,3,FALSE)="F",L$24,L$23),1,0))</f>
        <v>1</v>
      </c>
      <c r="M219" s="38">
        <f>SUM(D219:L219)</f>
        <v>8</v>
      </c>
    </row>
    <row r="220" spans="1:13" ht="34.5" customHeight="1">
      <c r="A220" s="54">
        <f>VLOOKUP(B220,'SCORES &amp; HANDICAP CALCULATOR'!$B$3:$E$67,4,FALSE)</f>
        <v>10</v>
      </c>
      <c r="B220" s="54" t="str">
        <f>N218&amp;"B"</f>
        <v>9B</v>
      </c>
      <c r="C220" s="54" t="str">
        <f>VLOOKUP(B220,'SCORES &amp; HANDICAP CALCULATOR'!$B$3:$E$50,2,FALSE)</f>
        <v>Joe Pearson</v>
      </c>
      <c r="D220" s="29"/>
      <c r="E220" s="30"/>
      <c r="F220" s="30"/>
      <c r="G220" s="30"/>
      <c r="H220" s="30"/>
      <c r="I220" s="30"/>
      <c r="J220" s="30"/>
      <c r="K220" s="30"/>
      <c r="L220" s="30"/>
      <c r="M220" s="30"/>
    </row>
    <row r="221" spans="1:13" ht="21.75" customHeight="1">
      <c r="A221" s="34"/>
      <c r="B221" s="34"/>
      <c r="C221" s="34"/>
      <c r="D221" s="35"/>
      <c r="E221" s="35"/>
      <c r="F221" s="35"/>
      <c r="G221" s="35"/>
      <c r="H221" s="35"/>
      <c r="I221" s="35"/>
      <c r="J221" s="35"/>
      <c r="K221" s="35"/>
      <c r="L221" s="35"/>
      <c r="M221" s="36"/>
    </row>
    <row r="222" spans="1:13" ht="21.75" customHeight="1">
      <c r="A222" s="214" t="str">
        <f>CONCATENATE("TEE TIME: ",TEXT(N209,"h:mm")," PM")</f>
        <v>TEE TIME: 5:02 PM</v>
      </c>
      <c r="B222" s="215"/>
      <c r="C222" s="215"/>
      <c r="D222" s="215"/>
      <c r="E222" s="215"/>
      <c r="F222" s="215"/>
      <c r="G222" s="215"/>
      <c r="H222" s="215"/>
      <c r="I222" s="215"/>
      <c r="J222" s="215"/>
      <c r="K222" s="215"/>
      <c r="L222" s="215"/>
      <c r="M222" s="215"/>
    </row>
    <row r="223" spans="1:13" ht="21.75" customHeight="1" hidden="1">
      <c r="A223" s="121"/>
      <c r="B223" s="121"/>
      <c r="C223" s="122" t="s">
        <v>88</v>
      </c>
      <c r="D223" s="121">
        <f>D$23</f>
        <v>3</v>
      </c>
      <c r="E223" s="121">
        <f aca="true" t="shared" si="9" ref="E223:L223">E$23</f>
        <v>4</v>
      </c>
      <c r="F223" s="121">
        <f t="shared" si="9"/>
        <v>2</v>
      </c>
      <c r="G223" s="121">
        <f t="shared" si="9"/>
        <v>5</v>
      </c>
      <c r="H223" s="121">
        <f t="shared" si="9"/>
        <v>6</v>
      </c>
      <c r="I223" s="121">
        <f t="shared" si="9"/>
        <v>9</v>
      </c>
      <c r="J223" s="121">
        <f t="shared" si="9"/>
        <v>1</v>
      </c>
      <c r="K223" s="121">
        <f t="shared" si="9"/>
        <v>8</v>
      </c>
      <c r="L223" s="121">
        <f t="shared" si="9"/>
        <v>7</v>
      </c>
      <c r="M223" s="37"/>
    </row>
    <row r="224" spans="1:13" ht="21.75" customHeight="1" hidden="1">
      <c r="A224" s="121"/>
      <c r="B224" s="121"/>
      <c r="C224" s="122" t="s">
        <v>89</v>
      </c>
      <c r="D224" s="121">
        <f>D$24</f>
        <v>3</v>
      </c>
      <c r="E224" s="121">
        <f aca="true" t="shared" si="10" ref="E224:L224">E$24</f>
        <v>4</v>
      </c>
      <c r="F224" s="121">
        <f t="shared" si="10"/>
        <v>2</v>
      </c>
      <c r="G224" s="121">
        <f t="shared" si="10"/>
        <v>5</v>
      </c>
      <c r="H224" s="121">
        <f t="shared" si="10"/>
        <v>6</v>
      </c>
      <c r="I224" s="121">
        <f t="shared" si="10"/>
        <v>9</v>
      </c>
      <c r="J224" s="121">
        <f t="shared" si="10"/>
        <v>1</v>
      </c>
      <c r="K224" s="121">
        <f t="shared" si="10"/>
        <v>8</v>
      </c>
      <c r="L224" s="121">
        <f t="shared" si="10"/>
        <v>7</v>
      </c>
      <c r="M224" s="28"/>
    </row>
    <row r="225" spans="1:13" ht="21.75" customHeight="1" hidden="1">
      <c r="A225" s="121">
        <f>MIN(A212:A220)</f>
        <v>2</v>
      </c>
      <c r="B225" s="121">
        <f>A212-A225</f>
        <v>9</v>
      </c>
      <c r="C225" s="121"/>
      <c r="D225" s="121"/>
      <c r="E225" s="121"/>
      <c r="F225" s="121"/>
      <c r="G225" s="121"/>
      <c r="H225" s="121"/>
      <c r="I225" s="121"/>
      <c r="J225" s="121"/>
      <c r="K225" s="121"/>
      <c r="L225" s="121"/>
      <c r="M225" s="28"/>
    </row>
    <row r="226" spans="1:13" ht="21.75" customHeight="1" hidden="1">
      <c r="A226" s="121"/>
      <c r="B226" s="121">
        <f>A214-A225</f>
        <v>18</v>
      </c>
      <c r="C226" s="121"/>
      <c r="D226" s="121"/>
      <c r="E226" s="121"/>
      <c r="F226" s="121"/>
      <c r="G226" s="121"/>
      <c r="H226" s="121"/>
      <c r="I226" s="121"/>
      <c r="J226" s="121"/>
      <c r="K226" s="121"/>
      <c r="L226" s="121"/>
      <c r="M226" s="28"/>
    </row>
    <row r="227" spans="1:13" ht="21.75" customHeight="1" hidden="1">
      <c r="A227" s="121"/>
      <c r="B227" s="121"/>
      <c r="C227" s="121"/>
      <c r="D227" s="121"/>
      <c r="E227" s="121"/>
      <c r="F227" s="121"/>
      <c r="G227" s="121"/>
      <c r="H227" s="121"/>
      <c r="I227" s="121"/>
      <c r="J227" s="121"/>
      <c r="K227" s="121"/>
      <c r="L227" s="121"/>
      <c r="M227" s="28"/>
    </row>
    <row r="228" spans="1:13" ht="21.75" customHeight="1" hidden="1">
      <c r="A228" s="121"/>
      <c r="B228" s="121">
        <f>A218-A225</f>
        <v>0</v>
      </c>
      <c r="C228" s="121"/>
      <c r="D228" s="121"/>
      <c r="E228" s="121"/>
      <c r="F228" s="121"/>
      <c r="G228" s="121"/>
      <c r="H228" s="121"/>
      <c r="I228" s="121"/>
      <c r="J228" s="121"/>
      <c r="K228" s="121"/>
      <c r="L228" s="121"/>
      <c r="M228" s="28"/>
    </row>
    <row r="229" spans="1:13" ht="21.75" customHeight="1" hidden="1">
      <c r="A229" s="121"/>
      <c r="B229" s="121">
        <f>A220-A225</f>
        <v>8</v>
      </c>
      <c r="C229" s="121"/>
      <c r="D229" s="121"/>
      <c r="E229" s="121"/>
      <c r="F229" s="121"/>
      <c r="G229" s="121"/>
      <c r="H229" s="121"/>
      <c r="I229" s="121"/>
      <c r="J229" s="121"/>
      <c r="K229" s="121"/>
      <c r="L229" s="121"/>
      <c r="M229" s="28"/>
    </row>
    <row r="230" spans="1:13" ht="21.75" customHeight="1">
      <c r="A230" s="28"/>
      <c r="B230" s="28"/>
      <c r="C230" s="28"/>
      <c r="D230" s="28"/>
      <c r="E230" s="28"/>
      <c r="F230" s="28"/>
      <c r="G230" s="28"/>
      <c r="H230" s="28"/>
      <c r="I230" s="28"/>
      <c r="J230" s="28"/>
      <c r="K230" s="28"/>
      <c r="L230" s="28"/>
      <c r="M230" s="28"/>
    </row>
    <row r="231" spans="1:13" ht="21.75" customHeight="1">
      <c r="A231" s="28"/>
      <c r="B231" s="28"/>
      <c r="C231" s="28"/>
      <c r="D231" s="28"/>
      <c r="E231" s="28"/>
      <c r="F231" s="28"/>
      <c r="G231" s="28"/>
      <c r="H231" s="28"/>
      <c r="I231" s="28"/>
      <c r="J231" s="28"/>
      <c r="K231" s="28"/>
      <c r="L231" s="28"/>
      <c r="M231" s="28"/>
    </row>
    <row r="232" spans="1:13" ht="21.75" customHeight="1">
      <c r="A232" s="212" t="str">
        <f>A32</f>
        <v>Standings - Second Half</v>
      </c>
      <c r="B232" s="210"/>
      <c r="C232" s="210"/>
      <c r="D232" s="210"/>
      <c r="E232" s="210"/>
      <c r="F232" s="211"/>
      <c r="G232" s="59"/>
      <c r="H232" s="28"/>
      <c r="I232" s="28"/>
      <c r="J232" s="28"/>
      <c r="K232" s="28"/>
      <c r="L232" s="28"/>
      <c r="M232" s="28"/>
    </row>
    <row r="233" spans="1:13" ht="21.75" customHeight="1">
      <c r="A233" s="28"/>
      <c r="B233" s="28"/>
      <c r="C233" s="28"/>
      <c r="D233" s="28"/>
      <c r="E233" s="28"/>
      <c r="F233" s="28"/>
      <c r="G233" s="28"/>
      <c r="H233" s="28"/>
      <c r="I233" s="28"/>
      <c r="J233" s="28"/>
      <c r="K233" s="28"/>
      <c r="L233" s="28"/>
      <c r="M233" s="28"/>
    </row>
    <row r="234" spans="1:13" ht="21.75" customHeight="1">
      <c r="A234" s="125" t="s">
        <v>86</v>
      </c>
      <c r="B234" s="209" t="s">
        <v>61</v>
      </c>
      <c r="C234" s="210"/>
      <c r="D234" s="210"/>
      <c r="E234" s="211"/>
      <c r="F234" s="128" t="s">
        <v>62</v>
      </c>
      <c r="G234" s="28"/>
      <c r="H234" s="28"/>
      <c r="I234" s="28"/>
      <c r="J234" s="28"/>
      <c r="K234" s="28"/>
      <c r="L234" s="28"/>
      <c r="M234" s="28"/>
    </row>
    <row r="235" spans="1:13" ht="21.75" customHeight="1">
      <c r="A235" s="129">
        <f>A$35</f>
        <v>1</v>
      </c>
      <c r="B235" s="130" t="str">
        <f>B$35</f>
        <v>09  Doug Cormier/Joe Pearson</v>
      </c>
      <c r="C235" s="126"/>
      <c r="D235" s="126"/>
      <c r="E235" s="127"/>
      <c r="F235" s="131">
        <f>F$35</f>
        <v>35</v>
      </c>
      <c r="G235" s="52"/>
      <c r="H235" s="52"/>
      <c r="I235" s="28"/>
      <c r="J235" s="28"/>
      <c r="K235" s="28"/>
      <c r="L235" s="28"/>
      <c r="M235" s="28"/>
    </row>
    <row r="236" spans="1:13" ht="21.75" customHeight="1">
      <c r="A236" s="129">
        <f>A$36</f>
        <v>2</v>
      </c>
      <c r="B236" s="130" t="str">
        <f>B$36</f>
        <v>01  Gary Bittner/Mike Dauphinais</v>
      </c>
      <c r="C236" s="126"/>
      <c r="D236" s="126"/>
      <c r="E236" s="127"/>
      <c r="F236" s="131">
        <f>F$36</f>
        <v>32</v>
      </c>
      <c r="G236" s="52"/>
      <c r="H236" s="52"/>
      <c r="I236" s="28"/>
      <c r="J236" s="28"/>
      <c r="K236" s="28"/>
      <c r="L236" s="28"/>
      <c r="M236" s="28"/>
    </row>
    <row r="237" spans="1:13" ht="21.75" customHeight="1">
      <c r="A237" s="129">
        <f>A$37</f>
        <v>3</v>
      </c>
      <c r="B237" s="130" t="str">
        <f>B$37</f>
        <v>11  Walter Drake/John Cassin</v>
      </c>
      <c r="C237" s="126"/>
      <c r="D237" s="126"/>
      <c r="E237" s="127"/>
      <c r="F237" s="131">
        <f>F$37</f>
        <v>29</v>
      </c>
      <c r="G237" s="52"/>
      <c r="H237" s="52"/>
      <c r="I237" s="28"/>
      <c r="J237" s="28"/>
      <c r="K237" s="28"/>
      <c r="L237" s="28"/>
      <c r="M237" s="28"/>
    </row>
    <row r="238" spans="1:13" ht="21.75" customHeight="1">
      <c r="A238" s="129" t="str">
        <f>A$38</f>
        <v>4T</v>
      </c>
      <c r="B238" s="130" t="str">
        <f>B$38</f>
        <v>02  Lester Lockhart/Pete Normandin</v>
      </c>
      <c r="C238" s="126"/>
      <c r="D238" s="126"/>
      <c r="E238" s="127"/>
      <c r="F238" s="131">
        <f>F$38</f>
        <v>28.5</v>
      </c>
      <c r="G238" s="52"/>
      <c r="H238" s="52"/>
      <c r="I238" s="28"/>
      <c r="J238" s="28"/>
      <c r="K238" s="28"/>
      <c r="L238" s="28"/>
      <c r="M238" s="28"/>
    </row>
    <row r="239" spans="1:13" ht="21.75" customHeight="1">
      <c r="A239" s="129" t="str">
        <f>A$39</f>
        <v>4T</v>
      </c>
      <c r="B239" s="130" t="str">
        <f>B$39</f>
        <v>03  Ralph Romano/Mike Romano</v>
      </c>
      <c r="C239" s="126"/>
      <c r="D239" s="126"/>
      <c r="E239" s="127"/>
      <c r="F239" s="131">
        <f>F$39</f>
        <v>28.5</v>
      </c>
      <c r="G239" s="52"/>
      <c r="H239" s="52"/>
      <c r="I239" s="28"/>
      <c r="J239" s="28"/>
      <c r="K239" s="28"/>
      <c r="L239" s="28"/>
      <c r="M239" s="28"/>
    </row>
    <row r="240" spans="1:13" ht="21.75" customHeight="1">
      <c r="A240" s="129">
        <f>A$40</f>
        <v>6</v>
      </c>
      <c r="B240" s="130" t="str">
        <f>B$40</f>
        <v>06  Dennis Normandin/Marc Normandin</v>
      </c>
      <c r="C240" s="126"/>
      <c r="D240" s="126"/>
      <c r="E240" s="127"/>
      <c r="F240" s="131">
        <f>F$40</f>
        <v>28</v>
      </c>
      <c r="G240" s="52"/>
      <c r="H240" s="52"/>
      <c r="I240" s="28"/>
      <c r="J240" s="28"/>
      <c r="K240" s="28"/>
      <c r="L240" s="28"/>
      <c r="M240" s="28"/>
    </row>
    <row r="241" spans="1:13" ht="21.75" customHeight="1">
      <c r="A241" s="129">
        <f>A$41</f>
        <v>7</v>
      </c>
      <c r="B241" s="130" t="str">
        <f>B$41</f>
        <v>05  Gary Leavenworth/Patty Leavenworth</v>
      </c>
      <c r="C241" s="126"/>
      <c r="D241" s="126"/>
      <c r="E241" s="127"/>
      <c r="F241" s="131">
        <f>F$41</f>
        <v>27</v>
      </c>
      <c r="G241" s="52"/>
      <c r="H241" s="52"/>
      <c r="I241" s="28"/>
      <c r="J241" s="28"/>
      <c r="K241" s="28"/>
      <c r="L241" s="28"/>
      <c r="M241" s="28"/>
    </row>
    <row r="242" spans="1:13" ht="21.75" customHeight="1">
      <c r="A242" s="129">
        <f>A$42</f>
        <v>8</v>
      </c>
      <c r="B242" s="130" t="str">
        <f>B$42</f>
        <v>04  Peg Romano/Lynn Laroche</v>
      </c>
      <c r="C242" s="126"/>
      <c r="D242" s="126"/>
      <c r="E242" s="127"/>
      <c r="F242" s="131">
        <f>F$42</f>
        <v>26</v>
      </c>
      <c r="G242" s="52"/>
      <c r="H242" s="52"/>
      <c r="I242" s="28"/>
      <c r="J242" s="28"/>
      <c r="K242" s="28"/>
      <c r="L242" s="28"/>
      <c r="M242" s="28"/>
    </row>
    <row r="243" spans="1:13" ht="21.75" customHeight="1">
      <c r="A243" s="129">
        <f>A$43</f>
        <v>9</v>
      </c>
      <c r="B243" s="130" t="str">
        <f>B$43</f>
        <v>08  Paul Fontaine/Yogi DiPasquale</v>
      </c>
      <c r="C243" s="126"/>
      <c r="D243" s="126"/>
      <c r="E243" s="127"/>
      <c r="F243" s="131">
        <f>F$43</f>
        <v>25.5</v>
      </c>
      <c r="G243" s="52"/>
      <c r="H243" s="52"/>
      <c r="I243" s="57"/>
      <c r="J243" s="28"/>
      <c r="K243" s="28"/>
      <c r="L243" s="28"/>
      <c r="M243" s="28"/>
    </row>
    <row r="244" spans="1:13" ht="21.75" customHeight="1">
      <c r="A244" s="129">
        <f>A$44</f>
        <v>10</v>
      </c>
      <c r="B244" s="130" t="str">
        <f>B$44</f>
        <v>07  Pete Romano/Ralph Romano</v>
      </c>
      <c r="C244" s="126"/>
      <c r="D244" s="126"/>
      <c r="E244" s="127"/>
      <c r="F244" s="131">
        <f>F$44</f>
        <v>25</v>
      </c>
      <c r="G244" s="52"/>
      <c r="H244" s="52"/>
      <c r="I244" s="28"/>
      <c r="J244" s="28"/>
      <c r="K244" s="28"/>
      <c r="L244" s="28"/>
      <c r="M244" s="28"/>
    </row>
    <row r="245" spans="1:13" ht="21.75" customHeight="1">
      <c r="A245" s="129">
        <f>A$45</f>
        <v>11</v>
      </c>
      <c r="B245" s="130" t="str">
        <f>B$45</f>
        <v>10  Dave Cormier/Norman Boisvert</v>
      </c>
      <c r="C245" s="126"/>
      <c r="D245" s="126"/>
      <c r="E245" s="127"/>
      <c r="F245" s="131">
        <f>F$45</f>
        <v>20.5</v>
      </c>
      <c r="G245" s="52"/>
      <c r="H245" s="52"/>
      <c r="I245" s="28"/>
      <c r="J245" s="28"/>
      <c r="K245" s="28"/>
      <c r="L245" s="28"/>
      <c r="M245" s="28"/>
    </row>
    <row r="246" spans="1:13" ht="21.75" customHeight="1">
      <c r="A246" s="129">
        <f>A$46</f>
        <v>12</v>
      </c>
      <c r="B246" s="130" t="str">
        <f>B$46</f>
        <v>12  Mike Marlborough/Rich Wilson</v>
      </c>
      <c r="C246" s="126"/>
      <c r="D246" s="126"/>
      <c r="E246" s="127"/>
      <c r="F246" s="131">
        <f>F$46</f>
        <v>18.5</v>
      </c>
      <c r="G246" s="52"/>
      <c r="H246" s="52"/>
      <c r="I246" s="28"/>
      <c r="J246" s="28"/>
      <c r="K246" s="28"/>
      <c r="L246" s="28"/>
      <c r="M246" s="28"/>
    </row>
    <row r="247" spans="1:13" ht="18">
      <c r="A247" s="153"/>
      <c r="B247" s="154"/>
      <c r="C247" s="147"/>
      <c r="D247" s="147"/>
      <c r="E247" s="147"/>
      <c r="F247" s="155"/>
      <c r="G247" s="156"/>
      <c r="H247" s="52"/>
      <c r="I247" s="28"/>
      <c r="J247" s="28"/>
      <c r="K247" s="28"/>
      <c r="L247" s="28"/>
      <c r="M247" s="28"/>
    </row>
    <row r="248" spans="1:13" ht="21.75" customHeight="1">
      <c r="A248" s="153"/>
      <c r="B248" s="154"/>
      <c r="C248" s="147"/>
      <c r="D248" s="147"/>
      <c r="E248" s="147"/>
      <c r="F248" s="155"/>
      <c r="G248" s="156"/>
      <c r="H248" s="52"/>
      <c r="I248" s="28"/>
      <c r="J248" s="28"/>
      <c r="K248" s="28"/>
      <c r="L248" s="28"/>
      <c r="M248" s="28"/>
    </row>
    <row r="249" spans="10:13" ht="21.75" customHeight="1">
      <c r="J249" s="28"/>
      <c r="K249" s="28"/>
      <c r="L249" s="28"/>
      <c r="M249" s="28"/>
    </row>
    <row r="250" spans="10:13" ht="21.75" customHeight="1">
      <c r="J250" s="28"/>
      <c r="K250" s="28"/>
      <c r="L250" s="28"/>
      <c r="M250" s="28"/>
    </row>
    <row r="251" spans="1:14" s="132" customFormat="1" ht="21.75" customHeight="1">
      <c r="A251" s="230" t="s">
        <v>9</v>
      </c>
      <c r="B251" s="231"/>
      <c r="C251" s="231"/>
      <c r="D251" s="231"/>
      <c r="E251" s="231"/>
      <c r="F251" s="231"/>
      <c r="G251" s="231"/>
      <c r="H251" s="231"/>
      <c r="I251" s="231"/>
      <c r="J251" s="231"/>
      <c r="K251" s="231"/>
      <c r="L251" s="231"/>
      <c r="M251" s="232"/>
      <c r="N251" s="134"/>
    </row>
    <row r="252" spans="1:14" s="132" customFormat="1" ht="21.75" customHeight="1">
      <c r="A252" s="202" t="str">
        <f>"Romano Golf League - "&amp;N256&amp;" - "&amp;N258&amp;" - "&amp;TEXT(N257,"MMM dd, yyyy")</f>
        <v>Romano Golf League - Week 3 - FRONT - Jul 05, 2006</v>
      </c>
      <c r="B252" s="203"/>
      <c r="C252" s="203"/>
      <c r="D252" s="203"/>
      <c r="E252" s="203"/>
      <c r="F252" s="203"/>
      <c r="G252" s="203"/>
      <c r="H252" s="203"/>
      <c r="I252" s="203"/>
      <c r="J252" s="203"/>
      <c r="K252" s="203"/>
      <c r="L252" s="203"/>
      <c r="M252" s="204"/>
      <c r="N252" s="134"/>
    </row>
    <row r="253" spans="1:14" s="132" customFormat="1" ht="21.75" customHeight="1">
      <c r="A253" s="205"/>
      <c r="B253" s="205"/>
      <c r="C253" s="205"/>
      <c r="D253" s="205"/>
      <c r="E253" s="205"/>
      <c r="F253" s="205"/>
      <c r="G253" s="205"/>
      <c r="H253" s="205"/>
      <c r="I253" s="205"/>
      <c r="J253" s="205"/>
      <c r="K253" s="205"/>
      <c r="L253" s="205"/>
      <c r="M253" s="205"/>
      <c r="N253" s="134"/>
    </row>
    <row r="254" spans="1:14" s="132" customFormat="1" ht="21.75" customHeight="1">
      <c r="A254" s="228" t="s">
        <v>10</v>
      </c>
      <c r="B254" s="228"/>
      <c r="C254" s="228"/>
      <c r="D254" s="77">
        <f>IF(LEFT($N$8)="F",1,IF(LEFT($N$8)="B",10,"ERROR"))</f>
        <v>1</v>
      </c>
      <c r="E254" s="77">
        <f>IF(LEFT($N$8)="F",2,IF(LEFT($N$8)="B",11,"ERROR"))</f>
        <v>2</v>
      </c>
      <c r="F254" s="77">
        <f>IF(LEFT($N$8)="F",3,IF(LEFT($N$8)="B",12,"ERROR"))</f>
        <v>3</v>
      </c>
      <c r="G254" s="77">
        <f>IF(LEFT($N$8)="F",4,IF(LEFT($N$8)="B",13,"ERROR"))</f>
        <v>4</v>
      </c>
      <c r="H254" s="77">
        <f>IF(LEFT($N$8)="F",5,IF(LEFT($N$8)="B",14,"ERROR"))</f>
        <v>5</v>
      </c>
      <c r="I254" s="77">
        <f>IF(LEFT($N$8)="F",6,IF(LEFT($N$8)="B",15,"ERROR"))</f>
        <v>6</v>
      </c>
      <c r="J254" s="77">
        <f>IF(LEFT($N$8)="F",7,IF(LEFT($N$8)="B",16,"ERROR"))</f>
        <v>7</v>
      </c>
      <c r="K254" s="77">
        <f>IF(LEFT($N$8)="F",8,IF(LEFT($N$8)="B",17,"ERROR"))</f>
        <v>8</v>
      </c>
      <c r="L254" s="77">
        <f>IF(LEFT($N$8)="F",9,IF(LEFT($N$8)="B",18,"ERROR"))</f>
        <v>9</v>
      </c>
      <c r="M254" s="77" t="str">
        <f>IF(LEFT($N$8)="F","OUT",IF(LEFT($N$8)="B","IN","ERROR"))</f>
        <v>OUT</v>
      </c>
      <c r="N254" s="134"/>
    </row>
    <row r="255" spans="1:14" s="132" customFormat="1" ht="21.75" customHeight="1">
      <c r="A255" s="229" t="s">
        <v>11</v>
      </c>
      <c r="B255" s="229"/>
      <c r="C255" s="229"/>
      <c r="D255" s="78">
        <f>IF(D254=1,460,IF(D254=10,345,"ERROR"))</f>
        <v>460</v>
      </c>
      <c r="E255" s="78">
        <f>IF(E254=2,275,IF(E254=11,220,"ERROR"))</f>
        <v>275</v>
      </c>
      <c r="F255" s="78">
        <f>IF(F254=3,525,IF(F254=12,330,"ERROR"))</f>
        <v>525</v>
      </c>
      <c r="G255" s="78">
        <f>IF(G254=4,295,IF(G254=13,435,"ERROR"))</f>
        <v>295</v>
      </c>
      <c r="H255" s="78">
        <f>IF(H254=5,345,IF(H254=14,145,"ERROR"))</f>
        <v>345</v>
      </c>
      <c r="I255" s="78">
        <f>IF(I254=6,175,IF(I254=15,315,"ERROR"))</f>
        <v>175</v>
      </c>
      <c r="J255" s="78">
        <f>IF(J254=7,405,IF(J254=16,130,"ERROR"))</f>
        <v>405</v>
      </c>
      <c r="K255" s="78">
        <f>IF(K254=8,145,IF(K254=17,300,"ERROR"))</f>
        <v>145</v>
      </c>
      <c r="L255" s="78">
        <f>IF(L254=9,320,IF(L254=18,340,"ERROR"))</f>
        <v>320</v>
      </c>
      <c r="M255" s="78">
        <f>SUM(D255:L255)</f>
        <v>2945</v>
      </c>
      <c r="N255" s="134"/>
    </row>
    <row r="256" spans="1:14" s="132" customFormat="1" ht="21.75" customHeight="1">
      <c r="A256" s="216" t="s">
        <v>17</v>
      </c>
      <c r="B256" s="216"/>
      <c r="C256" s="216"/>
      <c r="D256" s="78">
        <f>IF(D$4=1,5,IF(D$4=10,5,"ERROR"))</f>
        <v>5</v>
      </c>
      <c r="E256" s="78">
        <f>IF(E254=2,4,IF(E254=11,4,"ERROR"))</f>
        <v>4</v>
      </c>
      <c r="F256" s="78">
        <f>IF(F254=3,5,IF(F254=12,4,"ERROR"))</f>
        <v>5</v>
      </c>
      <c r="G256" s="78">
        <f>IF(G254=4,4,IF(G254=13,5,"ERROR"))</f>
        <v>4</v>
      </c>
      <c r="H256" s="78">
        <f>IF(H254=5,4,IF(H254=14,3,"ERROR"))</f>
        <v>4</v>
      </c>
      <c r="I256" s="78">
        <f>IF(I254=6,3,IF(I254=15,4,"ERROR"))</f>
        <v>3</v>
      </c>
      <c r="J256" s="78">
        <f>IF(J254=7,4,IF(J254=16,3,"ERROR"))</f>
        <v>4</v>
      </c>
      <c r="K256" s="78">
        <f>IF(K254=8,3,IF(K254=17,4,"ERROR"))</f>
        <v>3</v>
      </c>
      <c r="L256" s="78">
        <f>IF(L254=9,4,IF(L254=18,4,"ERROR"))</f>
        <v>4</v>
      </c>
      <c r="M256" s="78">
        <f>SUM(D256:L256)</f>
        <v>36</v>
      </c>
      <c r="N256" s="135" t="str">
        <f>$N$6</f>
        <v>Week 3</v>
      </c>
    </row>
    <row r="257" spans="1:14" s="132" customFormat="1" ht="21.75" customHeight="1">
      <c r="A257" s="225" t="s">
        <v>16</v>
      </c>
      <c r="B257" s="226"/>
      <c r="C257" s="226"/>
      <c r="D257" s="79">
        <f>IF(D$4=1,5,IF(D$4=10,6,"ERROR"))</f>
        <v>5</v>
      </c>
      <c r="E257" s="79">
        <f>IF(E254=2,7,IF(E254=11,10,"ERROR"))</f>
        <v>7</v>
      </c>
      <c r="F257" s="79">
        <f>IF(F254=3,3,IF(F254=12,8,"ERROR"))</f>
        <v>3</v>
      </c>
      <c r="G257" s="79">
        <f>IF(G254=4,9,IF(G254=13,4,"ERROR"))</f>
        <v>9</v>
      </c>
      <c r="H257" s="79">
        <f>IF(H254=5,11,IF(H254=14,16,"ERROR"))</f>
        <v>11</v>
      </c>
      <c r="I257" s="79">
        <f>IF(I254=6,17,IF(I254=15,12,"ERROR"))</f>
        <v>17</v>
      </c>
      <c r="J257" s="79">
        <f>IF(J254=7,1,IF(J254=16,18,"ERROR"))</f>
        <v>1</v>
      </c>
      <c r="K257" s="79">
        <f>IF(K254=8,15,IF(K254=17,14,"ERROR"))</f>
        <v>15</v>
      </c>
      <c r="L257" s="79">
        <f>IF(L254=9,13,IF(L254=18,2,"ERROR"))</f>
        <v>13</v>
      </c>
      <c r="M257" s="80"/>
      <c r="N257" s="136">
        <f>$N$7</f>
        <v>38903</v>
      </c>
    </row>
    <row r="258" spans="1:14" s="132" customFormat="1" ht="21.75" customHeight="1">
      <c r="A258" s="213" t="s">
        <v>12</v>
      </c>
      <c r="B258" s="213"/>
      <c r="C258" s="213"/>
      <c r="D258" s="75">
        <f>IF(D254=1,375,IF(D254=10,290,"ERROR"))</f>
        <v>375</v>
      </c>
      <c r="E258" s="75">
        <f>IF(E254=2,250,IF(E254=11,200,"ERROR"))</f>
        <v>250</v>
      </c>
      <c r="F258" s="75">
        <f>IF(F254=3,475,IF(F254=12,205,"ERROR"))</f>
        <v>475</v>
      </c>
      <c r="G258" s="75">
        <f>IF(G254=4,255,IF(G254=13,350,"ERROR"))</f>
        <v>255</v>
      </c>
      <c r="H258" s="75">
        <f>IF(H254=5,325,IF(H254=14,140,"ERROR"))</f>
        <v>325</v>
      </c>
      <c r="I258" s="75">
        <f>IF(I254=6,155,IF(I254=15,290,"ERROR"))</f>
        <v>155</v>
      </c>
      <c r="J258" s="75">
        <f>IF(J254=7,375,IF(J254=16,125,"ERROR"))</f>
        <v>375</v>
      </c>
      <c r="K258" s="75">
        <f>IF(K254=8,130,IF(K254=17,255,"ERROR"))</f>
        <v>130</v>
      </c>
      <c r="L258" s="75">
        <f>IF(L254=9,290,IF(L254=18,280,"ERROR"))</f>
        <v>290</v>
      </c>
      <c r="M258" s="76">
        <f>SUM(D258:L258)</f>
        <v>2630</v>
      </c>
      <c r="N258" s="137" t="str">
        <f>$N$8</f>
        <v>FRONT</v>
      </c>
    </row>
    <row r="259" spans="1:15" s="132" customFormat="1" ht="21.75" customHeight="1">
      <c r="A259" s="216" t="s">
        <v>15</v>
      </c>
      <c r="B259" s="216"/>
      <c r="C259" s="216"/>
      <c r="D259" s="78">
        <f>IF(D$4=1,5,IF(D$4=10,4,"ERROR"))</f>
        <v>5</v>
      </c>
      <c r="E259" s="78">
        <f>IF(E$4=2,4,IF(E$4=11,4,"ERROR"))</f>
        <v>4</v>
      </c>
      <c r="F259" s="78">
        <f>IF(F$4=3,5,IF(F$4=12,4,"ERROR"))</f>
        <v>5</v>
      </c>
      <c r="G259" s="78">
        <f>IF(G$4=4,4,IF(G$4=13,5,"ERROR"))</f>
        <v>4</v>
      </c>
      <c r="H259" s="78">
        <f>IF(H$4=5,4,IF(H$4=14,3,"ERROR"))</f>
        <v>4</v>
      </c>
      <c r="I259" s="78">
        <f>IF(I$4=6,3,IF(I$4=15,4,"ERROR"))</f>
        <v>3</v>
      </c>
      <c r="J259" s="78">
        <f>IF(J$4=7,5,IF(J$4=16,3,"ERROR"))</f>
        <v>5</v>
      </c>
      <c r="K259" s="78">
        <f>IF(K$4=8,3,IF(K$4=17,4,"ERROR"))</f>
        <v>3</v>
      </c>
      <c r="L259" s="78">
        <f>IF(L$4=9,4,IF(L$4=18,4,"ERROR"))</f>
        <v>4</v>
      </c>
      <c r="M259" s="78">
        <f>SUM(D259:L259)</f>
        <v>37</v>
      </c>
      <c r="N259" s="135">
        <v>0.215277777777778</v>
      </c>
      <c r="O259" s="133"/>
    </row>
    <row r="260" spans="1:14" s="132" customFormat="1" ht="21.75" customHeight="1">
      <c r="A260" s="81" t="s">
        <v>0</v>
      </c>
      <c r="B260" s="81" t="s">
        <v>1</v>
      </c>
      <c r="C260" s="82" t="s">
        <v>13</v>
      </c>
      <c r="D260" s="83">
        <f>IF(D$4=1,5,IF(D$4=10,4,"ERROR"))</f>
        <v>5</v>
      </c>
      <c r="E260" s="83">
        <f>IF(E$4=2,7,IF(E$4=11,2,"ERROR"))</f>
        <v>7</v>
      </c>
      <c r="F260" s="83">
        <f>IF(F$4=3,3,IF(F$4=12,8,"ERROR"))</f>
        <v>3</v>
      </c>
      <c r="G260" s="83">
        <f>IF(G$4=4,9,IF(G$4=13,6,"ERROR"))</f>
        <v>9</v>
      </c>
      <c r="H260" s="83">
        <f>IF(H$4=5,11,IF(H$4=14,16,"ERROR"))</f>
        <v>11</v>
      </c>
      <c r="I260" s="83">
        <f>IF(I$4=6,17,IF(I$4=15,12,"ERROR"))</f>
        <v>17</v>
      </c>
      <c r="J260" s="83">
        <f>IF(J$4=7,1,IF(J$4=16,18,"ERROR"))</f>
        <v>1</v>
      </c>
      <c r="K260" s="83">
        <f>IF(K$4=8,15,IF(K$4=17,14,"ERROR"))</f>
        <v>15</v>
      </c>
      <c r="L260" s="83">
        <f>IF(L$4=9,13,IF(L$4=18,10,"ERROR"))</f>
        <v>13</v>
      </c>
      <c r="M260" s="84"/>
      <c r="N260" s="137" t="str">
        <f>VLOOKUP(N259,'SCHEDULE &amp; POINTS'!$B$8:$I$14,RIGHT($N$6)+1,FALSE)</f>
        <v>2 v 10</v>
      </c>
    </row>
    <row r="261" spans="1:13" ht="12.75" customHeight="1">
      <c r="A261" s="27"/>
      <c r="B261" s="73"/>
      <c r="C261" s="27"/>
      <c r="D261" s="38">
        <f>IF($B275-9&gt;=IF(VLOOKUP($B262,'SCORES &amp; HANDICAP CALCULATOR'!$B$3:$E$67,3,FALSE)="F",D$24,D$23),2,IF($B275&gt;=IF(VLOOKUP($B262,'SCORES &amp; HANDICAP CALCULATOR'!$B$3:$E$67,3,FALSE)="F",D$24,D$23),1,0))</f>
        <v>0</v>
      </c>
      <c r="E261" s="38">
        <f>IF($B275-9&gt;=IF(VLOOKUP($B262,'SCORES &amp; HANDICAP CALCULATOR'!$B$3:$E$67,3,FALSE)="F",E$24,E$23),2,IF($B275&gt;=IF(VLOOKUP($B262,'SCORES &amp; HANDICAP CALCULATOR'!$B$3:$E$67,3,FALSE)="F",E$24,E$23),1,0))</f>
        <v>0</v>
      </c>
      <c r="F261" s="38">
        <f>IF($B275-9&gt;=IF(VLOOKUP($B262,'SCORES &amp; HANDICAP CALCULATOR'!$B$3:$E$67,3,FALSE)="F",F$24,F$23),2,IF($B275&gt;=IF(VLOOKUP($B262,'SCORES &amp; HANDICAP CALCULATOR'!$B$3:$E$67,3,FALSE)="F",F$24,F$23),1,0))</f>
        <v>0</v>
      </c>
      <c r="G261" s="38">
        <f>IF($B275-9&gt;=IF(VLOOKUP($B262,'SCORES &amp; HANDICAP CALCULATOR'!$B$3:$E$67,3,FALSE)="F",G$24,G$23),2,IF($B275&gt;=IF(VLOOKUP($B262,'SCORES &amp; HANDICAP CALCULATOR'!$B$3:$E$67,3,FALSE)="F",G$24,G$23),1,0))</f>
        <v>0</v>
      </c>
      <c r="H261" s="38">
        <f>IF($B275-9&gt;=IF(VLOOKUP($B262,'SCORES &amp; HANDICAP CALCULATOR'!$B$3:$E$67,3,FALSE)="F",H$24,H$23),2,IF($B275&gt;=IF(VLOOKUP($B262,'SCORES &amp; HANDICAP CALCULATOR'!$B$3:$E$67,3,FALSE)="F",H$24,H$23),1,0))</f>
        <v>0</v>
      </c>
      <c r="I261" s="38">
        <f>IF($B275-9&gt;=IF(VLOOKUP($B262,'SCORES &amp; HANDICAP CALCULATOR'!$B$3:$E$67,3,FALSE)="F",I$24,I$23),2,IF($B275&gt;=IF(VLOOKUP($B262,'SCORES &amp; HANDICAP CALCULATOR'!$B$3:$E$67,3,FALSE)="F",I$24,I$23),1,0))</f>
        <v>0</v>
      </c>
      <c r="J261" s="38">
        <f>IF($B275-9&gt;=IF(VLOOKUP($B262,'SCORES &amp; HANDICAP CALCULATOR'!$B$3:$E$67,3,FALSE)="F",J$24,J$23),2,IF($B275&gt;=IF(VLOOKUP($B262,'SCORES &amp; HANDICAP CALCULATOR'!$B$3:$E$67,3,FALSE)="F",J$24,J$23),1,0))</f>
        <v>0</v>
      </c>
      <c r="K261" s="38">
        <f>IF($B275-9&gt;=IF(VLOOKUP($B262,'SCORES &amp; HANDICAP CALCULATOR'!$B$3:$E$67,3,FALSE)="F",K$24,K$23),2,IF($B275&gt;=IF(VLOOKUP($B262,'SCORES &amp; HANDICAP CALCULATOR'!$B$3:$E$67,3,FALSE)="F",K$24,K$23),1,0))</f>
        <v>0</v>
      </c>
      <c r="L261" s="38">
        <f>IF($B275-9&gt;=IF(VLOOKUP($B262,'SCORES &amp; HANDICAP CALCULATOR'!$B$3:$E$67,3,FALSE)="F",L$24,L$23),2,IF($B275&gt;=IF(VLOOKUP($B262,'SCORES &amp; HANDICAP CALCULATOR'!$B$3:$E$67,3,FALSE)="F",L$24,L$23),1,0))</f>
        <v>0</v>
      </c>
      <c r="M261" s="38">
        <f>SUM(D261:L261)</f>
        <v>0</v>
      </c>
    </row>
    <row r="262" spans="1:14" ht="34.5" customHeight="1">
      <c r="A262" s="54">
        <f>VLOOKUP(B262,'SCORES &amp; HANDICAP CALCULATOR'!$B$3:$E$67,4,FALSE)</f>
        <v>6</v>
      </c>
      <c r="B262" s="54" t="str">
        <f>N262&amp;"A"</f>
        <v>2A</v>
      </c>
      <c r="C262" s="54" t="str">
        <f>VLOOKUP(B262,'SCORES &amp; HANDICAP CALCULATOR'!$B$3:$E$50,2,FALSE)</f>
        <v>Lester Lockhart</v>
      </c>
      <c r="D262" s="29"/>
      <c r="E262" s="30"/>
      <c r="F262" s="30"/>
      <c r="G262" s="30"/>
      <c r="H262" s="30"/>
      <c r="I262" s="30"/>
      <c r="J262" s="30"/>
      <c r="K262" s="30"/>
      <c r="L262" s="30"/>
      <c r="M262" s="30"/>
      <c r="N262" s="9" t="str">
        <f>LEFT(SUBSTITUTE(N260," v ",","),FIND(",",SUBSTITUTE(N260," v ",","))-1)</f>
        <v>2</v>
      </c>
    </row>
    <row r="263" spans="1:13" ht="12.75" customHeight="1">
      <c r="A263" s="27"/>
      <c r="B263" s="70"/>
      <c r="C263" s="27"/>
      <c r="D263" s="38">
        <f>IF($B276-9&gt;=IF(VLOOKUP($B264,'SCORES &amp; HANDICAP CALCULATOR'!$B$3:$E$67,3,FALSE)="F",D$24,D$23),2,IF($B276&gt;=IF(VLOOKUP($B264,'SCORES &amp; HANDICAP CALCULATOR'!$B$3:$E$67,3,FALSE)="F",D$24,D$23),1,0))</f>
        <v>1</v>
      </c>
      <c r="E263" s="38">
        <f>IF($B276-9&gt;=IF(VLOOKUP($B264,'SCORES &amp; HANDICAP CALCULATOR'!$B$3:$E$67,3,FALSE)="F",E$24,E$23),2,IF($B276&gt;=IF(VLOOKUP($B264,'SCORES &amp; HANDICAP CALCULATOR'!$B$3:$E$67,3,FALSE)="F",E$24,E$23),1,0))</f>
        <v>0</v>
      </c>
      <c r="F263" s="38">
        <f>IF($B276-9&gt;=IF(VLOOKUP($B264,'SCORES &amp; HANDICAP CALCULATOR'!$B$3:$E$67,3,FALSE)="F",F$24,F$23),2,IF($B276&gt;=IF(VLOOKUP($B264,'SCORES &amp; HANDICAP CALCULATOR'!$B$3:$E$67,3,FALSE)="F",F$24,F$23),1,0))</f>
        <v>1</v>
      </c>
      <c r="G263" s="38">
        <f>IF($B276-9&gt;=IF(VLOOKUP($B264,'SCORES &amp; HANDICAP CALCULATOR'!$B$3:$E$67,3,FALSE)="F",G$24,G$23),2,IF($B276&gt;=IF(VLOOKUP($B264,'SCORES &amp; HANDICAP CALCULATOR'!$B$3:$E$67,3,FALSE)="F",G$24,G$23),1,0))</f>
        <v>0</v>
      </c>
      <c r="H263" s="38">
        <f>IF($B276-9&gt;=IF(VLOOKUP($B264,'SCORES &amp; HANDICAP CALCULATOR'!$B$3:$E$67,3,FALSE)="F",H$24,H$23),2,IF($B276&gt;=IF(VLOOKUP($B264,'SCORES &amp; HANDICAP CALCULATOR'!$B$3:$E$67,3,FALSE)="F",H$24,H$23),1,0))</f>
        <v>0</v>
      </c>
      <c r="I263" s="38">
        <f>IF($B276-9&gt;=IF(VLOOKUP($B264,'SCORES &amp; HANDICAP CALCULATOR'!$B$3:$E$67,3,FALSE)="F",I$24,I$23),2,IF($B276&gt;=IF(VLOOKUP($B264,'SCORES &amp; HANDICAP CALCULATOR'!$B$3:$E$67,3,FALSE)="F",I$24,I$23),1,0))</f>
        <v>0</v>
      </c>
      <c r="J263" s="38">
        <f>IF($B276-9&gt;=IF(VLOOKUP($B264,'SCORES &amp; HANDICAP CALCULATOR'!$B$3:$E$67,3,FALSE)="F",J$24,J$23),2,IF($B276&gt;=IF(VLOOKUP($B264,'SCORES &amp; HANDICAP CALCULATOR'!$B$3:$E$67,3,FALSE)="F",J$24,J$23),1,0))</f>
        <v>1</v>
      </c>
      <c r="K263" s="38">
        <f>IF($B276-9&gt;=IF(VLOOKUP($B264,'SCORES &amp; HANDICAP CALCULATOR'!$B$3:$E$67,3,FALSE)="F",K$24,K$23),2,IF($B276&gt;=IF(VLOOKUP($B264,'SCORES &amp; HANDICAP CALCULATOR'!$B$3:$E$67,3,FALSE)="F",K$24,K$23),1,0))</f>
        <v>0</v>
      </c>
      <c r="L263" s="38">
        <f>IF($B276-9&gt;=IF(VLOOKUP($B264,'SCORES &amp; HANDICAP CALCULATOR'!$B$3:$E$67,3,FALSE)="F",L$24,L$23),2,IF($B276&gt;=IF(VLOOKUP($B264,'SCORES &amp; HANDICAP CALCULATOR'!$B$3:$E$67,3,FALSE)="F",L$24,L$23),1,0))</f>
        <v>0</v>
      </c>
      <c r="M263" s="38">
        <f>SUM(D263:L263)</f>
        <v>3</v>
      </c>
    </row>
    <row r="264" spans="1:13" ht="34.5" customHeight="1">
      <c r="A264" s="54">
        <f>VLOOKUP(B264,'SCORES &amp; HANDICAP CALCULATOR'!$B$3:$E$67,4,FALSE)</f>
        <v>9</v>
      </c>
      <c r="B264" s="54" t="str">
        <f>N262&amp;"B"</f>
        <v>2B</v>
      </c>
      <c r="C264" s="54" t="str">
        <f>VLOOKUP(B264,'SCORES &amp; HANDICAP CALCULATOR'!$B$3:$E$50,2,FALSE)</f>
        <v>Pete Normandin</v>
      </c>
      <c r="D264" s="29"/>
      <c r="E264" s="30"/>
      <c r="F264" s="30"/>
      <c r="G264" s="30"/>
      <c r="H264" s="30"/>
      <c r="I264" s="30"/>
      <c r="J264" s="30"/>
      <c r="K264" s="30"/>
      <c r="L264" s="30"/>
      <c r="M264" s="30"/>
    </row>
    <row r="265" spans="1:13" ht="21.75" customHeight="1">
      <c r="A265" s="31"/>
      <c r="B265" s="71"/>
      <c r="C265" s="217" t="s">
        <v>87</v>
      </c>
      <c r="D265" s="32"/>
      <c r="E265" s="32"/>
      <c r="F265" s="32"/>
      <c r="G265" s="32"/>
      <c r="H265" s="32"/>
      <c r="I265" s="32"/>
      <c r="J265" s="32"/>
      <c r="K265" s="32"/>
      <c r="L265" s="32"/>
      <c r="M265" s="61"/>
    </row>
    <row r="266" spans="1:13" ht="21.75" customHeight="1">
      <c r="A266" s="33"/>
      <c r="B266" s="72"/>
      <c r="C266" s="218"/>
      <c r="D266" s="32"/>
      <c r="E266" s="32"/>
      <c r="F266" s="32"/>
      <c r="G266" s="32"/>
      <c r="H266" s="32"/>
      <c r="I266" s="32"/>
      <c r="J266" s="32"/>
      <c r="K266" s="32"/>
      <c r="L266" s="32"/>
      <c r="M266" s="61"/>
    </row>
    <row r="267" spans="1:13" ht="12.75" customHeight="1">
      <c r="A267" s="27"/>
      <c r="B267" s="70"/>
      <c r="C267" s="27"/>
      <c r="D267" s="38">
        <f>IF($B278-9&gt;=IF(VLOOKUP($B268,'SCORES &amp; HANDICAP CALCULATOR'!$B$3:$E$67,3,FALSE)="F",D$24,D$23),2,IF($B278&gt;=IF(VLOOKUP($B268,'SCORES &amp; HANDICAP CALCULATOR'!$B$3:$E$67,3,FALSE)="F",D$24,D$23),1,0))</f>
        <v>0</v>
      </c>
      <c r="E267" s="38">
        <f>IF($B278-9&gt;=IF(VLOOKUP($B268,'SCORES &amp; HANDICAP CALCULATOR'!$B$3:$E$67,3,FALSE)="F",E$24,E$23),2,IF($B278&gt;=IF(VLOOKUP($B268,'SCORES &amp; HANDICAP CALCULATOR'!$B$3:$E$67,3,FALSE)="F",E$24,E$23),1,0))</f>
        <v>0</v>
      </c>
      <c r="F267" s="38">
        <f>IF($B278-9&gt;=IF(VLOOKUP($B268,'SCORES &amp; HANDICAP CALCULATOR'!$B$3:$E$67,3,FALSE)="F",F$24,F$23),2,IF($B278&gt;=IF(VLOOKUP($B268,'SCORES &amp; HANDICAP CALCULATOR'!$B$3:$E$67,3,FALSE)="F",F$24,F$23),1,0))</f>
        <v>1</v>
      </c>
      <c r="G267" s="38">
        <f>IF($B278-9&gt;=IF(VLOOKUP($B268,'SCORES &amp; HANDICAP CALCULATOR'!$B$3:$E$67,3,FALSE)="F",G$24,G$23),2,IF($B278&gt;=IF(VLOOKUP($B268,'SCORES &amp; HANDICAP CALCULATOR'!$B$3:$E$67,3,FALSE)="F",G$24,G$23),1,0))</f>
        <v>0</v>
      </c>
      <c r="H267" s="38">
        <f>IF($B278-9&gt;=IF(VLOOKUP($B268,'SCORES &amp; HANDICAP CALCULATOR'!$B$3:$E$67,3,FALSE)="F",H$24,H$23),2,IF($B278&gt;=IF(VLOOKUP($B268,'SCORES &amp; HANDICAP CALCULATOR'!$B$3:$E$67,3,FALSE)="F",H$24,H$23),1,0))</f>
        <v>0</v>
      </c>
      <c r="I267" s="38">
        <f>IF($B278-9&gt;=IF(VLOOKUP($B268,'SCORES &amp; HANDICAP CALCULATOR'!$B$3:$E$67,3,FALSE)="F",I$24,I$23),2,IF($B278&gt;=IF(VLOOKUP($B268,'SCORES &amp; HANDICAP CALCULATOR'!$B$3:$E$67,3,FALSE)="F",I$24,I$23),1,0))</f>
        <v>0</v>
      </c>
      <c r="J267" s="38">
        <f>IF($B278-9&gt;=IF(VLOOKUP($B268,'SCORES &amp; HANDICAP CALCULATOR'!$B$3:$E$67,3,FALSE)="F",J$24,J$23),2,IF($B278&gt;=IF(VLOOKUP($B268,'SCORES &amp; HANDICAP CALCULATOR'!$B$3:$E$67,3,FALSE)="F",J$24,J$23),1,0))</f>
        <v>1</v>
      </c>
      <c r="K267" s="38">
        <f>IF($B278-9&gt;=IF(VLOOKUP($B268,'SCORES &amp; HANDICAP CALCULATOR'!$B$3:$E$67,3,FALSE)="F",K$24,K$23),2,IF($B278&gt;=IF(VLOOKUP($B268,'SCORES &amp; HANDICAP CALCULATOR'!$B$3:$E$67,3,FALSE)="F",K$24,K$23),1,0))</f>
        <v>0</v>
      </c>
      <c r="L267" s="38">
        <f>IF($B278-9&gt;=IF(VLOOKUP($B268,'SCORES &amp; HANDICAP CALCULATOR'!$B$3:$E$67,3,FALSE)="F",L$24,L$23),2,IF($B278&gt;=IF(VLOOKUP($B268,'SCORES &amp; HANDICAP CALCULATOR'!$B$3:$E$67,3,FALSE)="F",L$24,L$23),1,0))</f>
        <v>0</v>
      </c>
      <c r="M267" s="38">
        <f>SUM(D267:L267)</f>
        <v>2</v>
      </c>
    </row>
    <row r="268" spans="1:14" ht="34.5" customHeight="1">
      <c r="A268" s="54">
        <f>VLOOKUP(B268,'SCORES &amp; HANDICAP CALCULATOR'!$B$3:$E$67,4,FALSE)</f>
        <v>8</v>
      </c>
      <c r="B268" s="54" t="str">
        <f>N268&amp;"A"</f>
        <v>10A</v>
      </c>
      <c r="C268" s="54" t="str">
        <f>VLOOKUP(B268,'SCORES &amp; HANDICAP CALCULATOR'!$B$3:$E$50,2,FALSE)</f>
        <v>Dave Cormier</v>
      </c>
      <c r="D268" s="29"/>
      <c r="E268" s="30"/>
      <c r="F268" s="30"/>
      <c r="G268" s="30"/>
      <c r="H268" s="30"/>
      <c r="I268" s="30"/>
      <c r="J268" s="30"/>
      <c r="K268" s="30"/>
      <c r="L268" s="30"/>
      <c r="M268" s="30"/>
      <c r="N268" s="9" t="str">
        <f>RIGHT(SUBSTITUTE(N260," v ",","),LEN(SUBSTITUTE(N260," v ",","))-FIND(",",SUBSTITUTE(N260," v ",",")))</f>
        <v>10</v>
      </c>
    </row>
    <row r="269" spans="1:13" ht="12.75" customHeight="1">
      <c r="A269" s="27"/>
      <c r="B269" s="70"/>
      <c r="C269" s="27"/>
      <c r="D269" s="38">
        <f>IF($B279-9&gt;=IF(VLOOKUP($B270,'SCORES &amp; HANDICAP CALCULATOR'!$B$3:$E$67,3,FALSE)="F",D$24,D$23),2,IF($B279&gt;=IF(VLOOKUP($B270,'SCORES &amp; HANDICAP CALCULATOR'!$B$3:$E$67,3,FALSE)="F",D$24,D$23),1,0))</f>
        <v>2</v>
      </c>
      <c r="E269" s="38">
        <f>IF($B279-9&gt;=IF(VLOOKUP($B270,'SCORES &amp; HANDICAP CALCULATOR'!$B$3:$E$67,3,FALSE)="F",E$24,E$23),2,IF($B279&gt;=IF(VLOOKUP($B270,'SCORES &amp; HANDICAP CALCULATOR'!$B$3:$E$67,3,FALSE)="F",E$24,E$23),1,0))</f>
        <v>2</v>
      </c>
      <c r="F269" s="38">
        <f>IF($B279-9&gt;=IF(VLOOKUP($B270,'SCORES &amp; HANDICAP CALCULATOR'!$B$3:$E$67,3,FALSE)="F",F$24,F$23),2,IF($B279&gt;=IF(VLOOKUP($B270,'SCORES &amp; HANDICAP CALCULATOR'!$B$3:$E$67,3,FALSE)="F",F$24,F$23),1,0))</f>
        <v>2</v>
      </c>
      <c r="G269" s="38">
        <f>IF($B279-9&gt;=IF(VLOOKUP($B270,'SCORES &amp; HANDICAP CALCULATOR'!$B$3:$E$67,3,FALSE)="F",G$24,G$23),2,IF($B279&gt;=IF(VLOOKUP($B270,'SCORES &amp; HANDICAP CALCULATOR'!$B$3:$E$67,3,FALSE)="F",G$24,G$23),1,0))</f>
        <v>2</v>
      </c>
      <c r="H269" s="38">
        <f>IF($B279-9&gt;=IF(VLOOKUP($B270,'SCORES &amp; HANDICAP CALCULATOR'!$B$3:$E$67,3,FALSE)="F",H$24,H$23),2,IF($B279&gt;=IF(VLOOKUP($B270,'SCORES &amp; HANDICAP CALCULATOR'!$B$3:$E$67,3,FALSE)="F",H$24,H$23),1,0))</f>
        <v>1</v>
      </c>
      <c r="I269" s="38">
        <f>IF($B279-9&gt;=IF(VLOOKUP($B270,'SCORES &amp; HANDICAP CALCULATOR'!$B$3:$E$67,3,FALSE)="F",I$24,I$23),2,IF($B279&gt;=IF(VLOOKUP($B270,'SCORES &amp; HANDICAP CALCULATOR'!$B$3:$E$67,3,FALSE)="F",I$24,I$23),1,0))</f>
        <v>1</v>
      </c>
      <c r="J269" s="38">
        <f>IF($B279-9&gt;=IF(VLOOKUP($B270,'SCORES &amp; HANDICAP CALCULATOR'!$B$3:$E$67,3,FALSE)="F",J$24,J$23),2,IF($B279&gt;=IF(VLOOKUP($B270,'SCORES &amp; HANDICAP CALCULATOR'!$B$3:$E$67,3,FALSE)="F",J$24,J$23),1,0))</f>
        <v>2</v>
      </c>
      <c r="K269" s="38">
        <f>IF($B279-9&gt;=IF(VLOOKUP($B270,'SCORES &amp; HANDICAP CALCULATOR'!$B$3:$E$67,3,FALSE)="F",K$24,K$23),2,IF($B279&gt;=IF(VLOOKUP($B270,'SCORES &amp; HANDICAP CALCULATOR'!$B$3:$E$67,3,FALSE)="F",K$24,K$23),1,0))</f>
        <v>1</v>
      </c>
      <c r="L269" s="38">
        <f>IF($B279-9&gt;=IF(VLOOKUP($B270,'SCORES &amp; HANDICAP CALCULATOR'!$B$3:$E$67,3,FALSE)="F",L$24,L$23),2,IF($B279&gt;=IF(VLOOKUP($B270,'SCORES &amp; HANDICAP CALCULATOR'!$B$3:$E$67,3,FALSE)="F",L$24,L$23),1,0))</f>
        <v>1</v>
      </c>
      <c r="M269" s="38">
        <f>SUM(D269:L269)</f>
        <v>14</v>
      </c>
    </row>
    <row r="270" spans="1:13" ht="34.5" customHeight="1">
      <c r="A270" s="54">
        <f>VLOOKUP(B270,'SCORES &amp; HANDICAP CALCULATOR'!$B$3:$E$67,4,FALSE)</f>
        <v>20</v>
      </c>
      <c r="B270" s="54" t="str">
        <f>N268&amp;"B"</f>
        <v>10B</v>
      </c>
      <c r="C270" s="54" t="str">
        <f>VLOOKUP(B270,'SCORES &amp; HANDICAP CALCULATOR'!$B$3:$E$50,2,FALSE)</f>
        <v>Norman Boisvert</v>
      </c>
      <c r="D270" s="29"/>
      <c r="E270" s="30"/>
      <c r="F270" s="30"/>
      <c r="G270" s="30"/>
      <c r="H270" s="30"/>
      <c r="I270" s="30"/>
      <c r="J270" s="30"/>
      <c r="K270" s="30"/>
      <c r="L270" s="30"/>
      <c r="M270" s="30"/>
    </row>
    <row r="271" spans="1:13" ht="21.75" customHeight="1">
      <c r="A271" s="34"/>
      <c r="B271" s="34"/>
      <c r="C271" s="34"/>
      <c r="D271" s="35"/>
      <c r="E271" s="35"/>
      <c r="F271" s="35"/>
      <c r="G271" s="35"/>
      <c r="H271" s="35"/>
      <c r="I271" s="35"/>
      <c r="J271" s="35"/>
      <c r="K271" s="35"/>
      <c r="L271" s="35"/>
      <c r="M271" s="36"/>
    </row>
    <row r="272" spans="1:13" ht="21.75" customHeight="1">
      <c r="A272" s="214" t="str">
        <f>CONCATENATE("TEE TIME: ",TEXT(N259,"h:mm")," PM")</f>
        <v>TEE TIME: 5:10 PM</v>
      </c>
      <c r="B272" s="215"/>
      <c r="C272" s="215"/>
      <c r="D272" s="215"/>
      <c r="E272" s="215"/>
      <c r="F272" s="215"/>
      <c r="G272" s="215"/>
      <c r="H272" s="215"/>
      <c r="I272" s="215"/>
      <c r="J272" s="215"/>
      <c r="K272" s="215"/>
      <c r="L272" s="215"/>
      <c r="M272" s="215"/>
    </row>
    <row r="273" spans="1:13" ht="21.75" customHeight="1" hidden="1">
      <c r="A273" s="121"/>
      <c r="B273" s="121"/>
      <c r="C273" s="122" t="s">
        <v>88</v>
      </c>
      <c r="D273" s="121">
        <f>D$23</f>
        <v>3</v>
      </c>
      <c r="E273" s="121">
        <f aca="true" t="shared" si="11" ref="E273:L273">E$23</f>
        <v>4</v>
      </c>
      <c r="F273" s="121">
        <f t="shared" si="11"/>
        <v>2</v>
      </c>
      <c r="G273" s="121">
        <f t="shared" si="11"/>
        <v>5</v>
      </c>
      <c r="H273" s="121">
        <f t="shared" si="11"/>
        <v>6</v>
      </c>
      <c r="I273" s="121">
        <f t="shared" si="11"/>
        <v>9</v>
      </c>
      <c r="J273" s="121">
        <f t="shared" si="11"/>
        <v>1</v>
      </c>
      <c r="K273" s="121">
        <f t="shared" si="11"/>
        <v>8</v>
      </c>
      <c r="L273" s="121">
        <f t="shared" si="11"/>
        <v>7</v>
      </c>
      <c r="M273" s="123"/>
    </row>
    <row r="274" spans="1:13" ht="21.75" customHeight="1" hidden="1">
      <c r="A274" s="121"/>
      <c r="B274" s="121"/>
      <c r="C274" s="122" t="s">
        <v>89</v>
      </c>
      <c r="D274" s="121">
        <f>D$24</f>
        <v>3</v>
      </c>
      <c r="E274" s="121">
        <f aca="true" t="shared" si="12" ref="E274:L274">E$24</f>
        <v>4</v>
      </c>
      <c r="F274" s="121">
        <f t="shared" si="12"/>
        <v>2</v>
      </c>
      <c r="G274" s="121">
        <f t="shared" si="12"/>
        <v>5</v>
      </c>
      <c r="H274" s="121">
        <f t="shared" si="12"/>
        <v>6</v>
      </c>
      <c r="I274" s="121">
        <f t="shared" si="12"/>
        <v>9</v>
      </c>
      <c r="J274" s="121">
        <f t="shared" si="12"/>
        <v>1</v>
      </c>
      <c r="K274" s="121">
        <f t="shared" si="12"/>
        <v>8</v>
      </c>
      <c r="L274" s="121">
        <f t="shared" si="12"/>
        <v>7</v>
      </c>
      <c r="M274" s="121"/>
    </row>
    <row r="275" spans="1:13" ht="21.75" customHeight="1" hidden="1">
      <c r="A275" s="121">
        <f>MIN(A262:A270)</f>
        <v>6</v>
      </c>
      <c r="B275" s="121">
        <f>A262-A275</f>
        <v>0</v>
      </c>
      <c r="C275" s="121"/>
      <c r="D275" s="121"/>
      <c r="E275" s="121"/>
      <c r="F275" s="121"/>
      <c r="G275" s="121"/>
      <c r="H275" s="121"/>
      <c r="I275" s="121"/>
      <c r="J275" s="121"/>
      <c r="K275" s="121"/>
      <c r="L275" s="121"/>
      <c r="M275" s="121"/>
    </row>
    <row r="276" spans="1:13" ht="21.75" customHeight="1" hidden="1">
      <c r="A276" s="121"/>
      <c r="B276" s="121">
        <f>A264-A275</f>
        <v>3</v>
      </c>
      <c r="C276" s="121"/>
      <c r="D276" s="121"/>
      <c r="E276" s="121"/>
      <c r="F276" s="121"/>
      <c r="G276" s="121"/>
      <c r="H276" s="121"/>
      <c r="I276" s="121"/>
      <c r="J276" s="121"/>
      <c r="K276" s="121"/>
      <c r="L276" s="121"/>
      <c r="M276" s="121"/>
    </row>
    <row r="277" spans="1:13" ht="21.75" customHeight="1" hidden="1">
      <c r="A277" s="121"/>
      <c r="B277" s="121"/>
      <c r="C277" s="121"/>
      <c r="D277" s="121"/>
      <c r="E277" s="121"/>
      <c r="F277" s="121"/>
      <c r="G277" s="121"/>
      <c r="H277" s="121"/>
      <c r="I277" s="121"/>
      <c r="J277" s="121"/>
      <c r="K277" s="121"/>
      <c r="L277" s="121"/>
      <c r="M277" s="121"/>
    </row>
    <row r="278" spans="1:13" ht="21.75" customHeight="1" hidden="1">
      <c r="A278" s="121"/>
      <c r="B278" s="121">
        <f>A268-A275</f>
        <v>2</v>
      </c>
      <c r="C278" s="121"/>
      <c r="D278" s="121"/>
      <c r="E278" s="121"/>
      <c r="F278" s="121"/>
      <c r="G278" s="121"/>
      <c r="H278" s="121"/>
      <c r="I278" s="121"/>
      <c r="J278" s="121"/>
      <c r="K278" s="121"/>
      <c r="L278" s="121"/>
      <c r="M278" s="121"/>
    </row>
    <row r="279" spans="1:13" ht="21.75" customHeight="1" hidden="1">
      <c r="A279" s="121"/>
      <c r="B279" s="121">
        <f>A270-A275</f>
        <v>14</v>
      </c>
      <c r="C279" s="121"/>
      <c r="D279" s="121"/>
      <c r="E279" s="121"/>
      <c r="F279" s="121"/>
      <c r="G279" s="121"/>
      <c r="H279" s="121"/>
      <c r="I279" s="121"/>
      <c r="J279" s="121"/>
      <c r="K279" s="121"/>
      <c r="L279" s="121"/>
      <c r="M279" s="121"/>
    </row>
    <row r="280" spans="1:13" ht="21.75" customHeight="1">
      <c r="A280" s="28"/>
      <c r="B280" s="28"/>
      <c r="C280" s="28"/>
      <c r="D280" s="28"/>
      <c r="E280" s="28"/>
      <c r="F280" s="28"/>
      <c r="G280" s="28"/>
      <c r="H280" s="28"/>
      <c r="I280" s="28"/>
      <c r="J280" s="28"/>
      <c r="K280" s="28"/>
      <c r="L280" s="28"/>
      <c r="M280" s="28"/>
    </row>
    <row r="281" spans="1:13" ht="21.75" customHeight="1">
      <c r="A281" s="28"/>
      <c r="B281" s="28"/>
      <c r="C281" s="28"/>
      <c r="D281" s="28"/>
      <c r="E281" s="28"/>
      <c r="F281" s="28"/>
      <c r="G281" s="28"/>
      <c r="H281" s="28"/>
      <c r="I281" s="28"/>
      <c r="J281" s="28"/>
      <c r="K281" s="28"/>
      <c r="L281" s="28"/>
      <c r="M281" s="28"/>
    </row>
    <row r="282" spans="1:13" ht="21.75" customHeight="1">
      <c r="A282" s="212" t="str">
        <f>A32</f>
        <v>Standings - Second Half</v>
      </c>
      <c r="B282" s="210"/>
      <c r="C282" s="210"/>
      <c r="D282" s="210"/>
      <c r="E282" s="210"/>
      <c r="F282" s="211"/>
      <c r="G282" s="59"/>
      <c r="H282" s="28"/>
      <c r="I282" s="28"/>
      <c r="J282" s="28"/>
      <c r="K282" s="28"/>
      <c r="L282" s="28"/>
      <c r="M282" s="28"/>
    </row>
    <row r="283" spans="1:13" ht="21.75" customHeight="1">
      <c r="A283" s="28"/>
      <c r="B283" s="28"/>
      <c r="C283" s="28"/>
      <c r="D283" s="28"/>
      <c r="E283" s="28"/>
      <c r="F283" s="28"/>
      <c r="G283" s="28"/>
      <c r="H283" s="28"/>
      <c r="I283" s="28"/>
      <c r="J283" s="28"/>
      <c r="K283" s="28"/>
      <c r="L283" s="28"/>
      <c r="M283" s="28"/>
    </row>
    <row r="284" spans="1:13" ht="21.75" customHeight="1">
      <c r="A284" s="125" t="s">
        <v>86</v>
      </c>
      <c r="B284" s="209" t="s">
        <v>61</v>
      </c>
      <c r="C284" s="210"/>
      <c r="D284" s="210"/>
      <c r="E284" s="211"/>
      <c r="F284" s="128" t="s">
        <v>62</v>
      </c>
      <c r="G284" s="28"/>
      <c r="H284" s="28"/>
      <c r="I284" s="28"/>
      <c r="J284" s="28"/>
      <c r="K284" s="28"/>
      <c r="L284" s="28"/>
      <c r="M284" s="28"/>
    </row>
    <row r="285" spans="1:13" ht="21.75" customHeight="1">
      <c r="A285" s="129">
        <f>A$35</f>
        <v>1</v>
      </c>
      <c r="B285" s="130" t="str">
        <f>B$35</f>
        <v>09  Doug Cormier/Joe Pearson</v>
      </c>
      <c r="C285" s="126"/>
      <c r="D285" s="126"/>
      <c r="E285" s="127"/>
      <c r="F285" s="131">
        <f>F$35</f>
        <v>35</v>
      </c>
      <c r="G285" s="52"/>
      <c r="H285" s="52"/>
      <c r="I285" s="28"/>
      <c r="J285" s="28"/>
      <c r="K285" s="28"/>
      <c r="L285" s="28"/>
      <c r="M285" s="28"/>
    </row>
    <row r="286" spans="1:13" ht="21.75" customHeight="1">
      <c r="A286" s="129">
        <f>A$36</f>
        <v>2</v>
      </c>
      <c r="B286" s="130" t="str">
        <f>B$36</f>
        <v>01  Gary Bittner/Mike Dauphinais</v>
      </c>
      <c r="C286" s="126"/>
      <c r="D286" s="126"/>
      <c r="E286" s="127"/>
      <c r="F286" s="131">
        <f>F$36</f>
        <v>32</v>
      </c>
      <c r="G286" s="52"/>
      <c r="H286" s="52"/>
      <c r="I286" s="28"/>
      <c r="J286" s="28"/>
      <c r="K286" s="28"/>
      <c r="L286" s="28"/>
      <c r="M286" s="28"/>
    </row>
    <row r="287" spans="1:13" ht="21.75" customHeight="1">
      <c r="A287" s="129">
        <f>A$37</f>
        <v>3</v>
      </c>
      <c r="B287" s="130" t="str">
        <f>B$37</f>
        <v>11  Walter Drake/John Cassin</v>
      </c>
      <c r="C287" s="126"/>
      <c r="D287" s="126"/>
      <c r="E287" s="127"/>
      <c r="F287" s="131">
        <f>F$37</f>
        <v>29</v>
      </c>
      <c r="G287" s="52"/>
      <c r="H287" s="52"/>
      <c r="I287" s="28"/>
      <c r="J287" s="28"/>
      <c r="K287" s="28"/>
      <c r="L287" s="28"/>
      <c r="M287" s="28"/>
    </row>
    <row r="288" spans="1:13" ht="21.75" customHeight="1">
      <c r="A288" s="129" t="str">
        <f>A$38</f>
        <v>4T</v>
      </c>
      <c r="B288" s="130" t="str">
        <f>B$38</f>
        <v>02  Lester Lockhart/Pete Normandin</v>
      </c>
      <c r="C288" s="126"/>
      <c r="D288" s="126"/>
      <c r="E288" s="127"/>
      <c r="F288" s="131">
        <f>F$38</f>
        <v>28.5</v>
      </c>
      <c r="G288" s="52"/>
      <c r="H288" s="52"/>
      <c r="I288" s="28"/>
      <c r="J288" s="28"/>
      <c r="K288" s="28"/>
      <c r="L288" s="28"/>
      <c r="M288" s="28"/>
    </row>
    <row r="289" spans="1:13" ht="21.75" customHeight="1">
      <c r="A289" s="129" t="str">
        <f>A$39</f>
        <v>4T</v>
      </c>
      <c r="B289" s="130" t="str">
        <f>B$39</f>
        <v>03  Ralph Romano/Mike Romano</v>
      </c>
      <c r="C289" s="126"/>
      <c r="D289" s="126"/>
      <c r="E289" s="127"/>
      <c r="F289" s="131">
        <f>F$39</f>
        <v>28.5</v>
      </c>
      <c r="G289" s="52"/>
      <c r="H289" s="52"/>
      <c r="I289" s="28"/>
      <c r="J289" s="28"/>
      <c r="K289" s="28"/>
      <c r="L289" s="28"/>
      <c r="M289" s="28"/>
    </row>
    <row r="290" spans="1:13" ht="21.75" customHeight="1">
      <c r="A290" s="129">
        <f>A$40</f>
        <v>6</v>
      </c>
      <c r="B290" s="130" t="str">
        <f>B$40</f>
        <v>06  Dennis Normandin/Marc Normandin</v>
      </c>
      <c r="C290" s="126"/>
      <c r="D290" s="126"/>
      <c r="E290" s="127"/>
      <c r="F290" s="131">
        <f>F$40</f>
        <v>28</v>
      </c>
      <c r="G290" s="52"/>
      <c r="H290" s="52"/>
      <c r="I290" s="28"/>
      <c r="J290" s="28"/>
      <c r="K290" s="28"/>
      <c r="L290" s="28"/>
      <c r="M290" s="28"/>
    </row>
    <row r="291" spans="1:13" ht="21.75" customHeight="1">
      <c r="A291" s="129">
        <f>A$41</f>
        <v>7</v>
      </c>
      <c r="B291" s="130" t="str">
        <f>B$41</f>
        <v>05  Gary Leavenworth/Patty Leavenworth</v>
      </c>
      <c r="C291" s="126"/>
      <c r="D291" s="126"/>
      <c r="E291" s="127"/>
      <c r="F291" s="131">
        <f>F$41</f>
        <v>27</v>
      </c>
      <c r="G291" s="52"/>
      <c r="H291" s="52"/>
      <c r="I291" s="28"/>
      <c r="J291" s="28"/>
      <c r="K291" s="28"/>
      <c r="L291" s="28"/>
      <c r="M291" s="28"/>
    </row>
    <row r="292" spans="1:13" ht="21.75" customHeight="1">
      <c r="A292" s="129">
        <f>A$42</f>
        <v>8</v>
      </c>
      <c r="B292" s="130" t="str">
        <f>B$42</f>
        <v>04  Peg Romano/Lynn Laroche</v>
      </c>
      <c r="C292" s="126"/>
      <c r="D292" s="126"/>
      <c r="E292" s="127"/>
      <c r="F292" s="131">
        <f>F$42</f>
        <v>26</v>
      </c>
      <c r="G292" s="52"/>
      <c r="H292" s="52"/>
      <c r="I292" s="28"/>
      <c r="J292" s="28"/>
      <c r="K292" s="28"/>
      <c r="L292" s="28"/>
      <c r="M292" s="28"/>
    </row>
    <row r="293" spans="1:13" ht="18">
      <c r="A293" s="129">
        <f>A$43</f>
        <v>9</v>
      </c>
      <c r="B293" s="130" t="str">
        <f>B$43</f>
        <v>08  Paul Fontaine/Yogi DiPasquale</v>
      </c>
      <c r="C293" s="126"/>
      <c r="D293" s="126"/>
      <c r="E293" s="127"/>
      <c r="F293" s="131">
        <f>F$43</f>
        <v>25.5</v>
      </c>
      <c r="G293" s="52"/>
      <c r="H293" s="52"/>
      <c r="I293" s="57"/>
      <c r="J293" s="28"/>
      <c r="K293" s="28"/>
      <c r="L293" s="28"/>
      <c r="M293" s="28"/>
    </row>
    <row r="294" spans="1:13" ht="22.5" customHeight="1">
      <c r="A294" s="129">
        <f>A$44</f>
        <v>10</v>
      </c>
      <c r="B294" s="130" t="str">
        <f>B$44</f>
        <v>07  Pete Romano/Ralph Romano</v>
      </c>
      <c r="C294" s="126"/>
      <c r="D294" s="126"/>
      <c r="E294" s="127"/>
      <c r="F294" s="131">
        <f>F$44</f>
        <v>25</v>
      </c>
      <c r="G294" s="52"/>
      <c r="H294" s="52"/>
      <c r="I294" s="28"/>
      <c r="J294" s="28"/>
      <c r="K294" s="28"/>
      <c r="L294" s="28"/>
      <c r="M294" s="28"/>
    </row>
    <row r="295" spans="1:13" ht="22.5" customHeight="1">
      <c r="A295" s="148">
        <f>A$45</f>
        <v>11</v>
      </c>
      <c r="B295" s="149" t="str">
        <f>B$45</f>
        <v>10  Dave Cormier/Norman Boisvert</v>
      </c>
      <c r="C295" s="150"/>
      <c r="D295" s="150"/>
      <c r="E295" s="151"/>
      <c r="F295" s="152">
        <f>F$45</f>
        <v>20.5</v>
      </c>
      <c r="G295" s="52"/>
      <c r="H295" s="52"/>
      <c r="I295" s="28"/>
      <c r="J295" s="28"/>
      <c r="K295" s="28"/>
      <c r="L295" s="28"/>
      <c r="M295" s="28"/>
    </row>
    <row r="296" spans="1:13" ht="22.5" customHeight="1">
      <c r="A296" s="129">
        <f>A$46</f>
        <v>12</v>
      </c>
      <c r="B296" s="130" t="str">
        <f>B$46</f>
        <v>12  Mike Marlborough/Rich Wilson</v>
      </c>
      <c r="C296" s="126"/>
      <c r="D296" s="126"/>
      <c r="E296" s="127"/>
      <c r="F296" s="131">
        <f>F$46</f>
        <v>18.5</v>
      </c>
      <c r="G296" s="156"/>
      <c r="H296" s="52"/>
      <c r="I296" s="28"/>
      <c r="J296" s="28"/>
      <c r="K296" s="28"/>
      <c r="L296" s="28"/>
      <c r="M296" s="28"/>
    </row>
    <row r="297" spans="1:13" ht="22.5" customHeight="1">
      <c r="A297" s="153"/>
      <c r="B297" s="154"/>
      <c r="C297" s="147"/>
      <c r="D297" s="147"/>
      <c r="E297" s="147"/>
      <c r="F297" s="155"/>
      <c r="G297" s="52"/>
      <c r="H297" s="52"/>
      <c r="I297" s="28"/>
      <c r="J297" s="28"/>
      <c r="K297" s="28"/>
      <c r="L297" s="28"/>
      <c r="M297" s="28"/>
    </row>
    <row r="298" spans="1:13" ht="22.5" customHeight="1">
      <c r="A298" s="153"/>
      <c r="B298" s="154"/>
      <c r="C298" s="147"/>
      <c r="D298" s="147"/>
      <c r="E298" s="147"/>
      <c r="F298" s="155"/>
      <c r="G298" s="52"/>
      <c r="H298" s="52"/>
      <c r="I298" s="28"/>
      <c r="J298" s="28"/>
      <c r="K298" s="28"/>
      <c r="L298" s="28"/>
      <c r="M298" s="28"/>
    </row>
    <row r="299" spans="10:13" ht="22.5" customHeight="1">
      <c r="J299" s="28"/>
      <c r="K299" s="28"/>
      <c r="L299" s="28"/>
      <c r="M299" s="28"/>
    </row>
    <row r="300" spans="10:13" ht="22.5" customHeight="1">
      <c r="J300" s="28"/>
      <c r="K300" s="28"/>
      <c r="L300" s="28"/>
      <c r="M300" s="28"/>
    </row>
    <row r="301" spans="1:14" s="132" customFormat="1" ht="21.75" customHeight="1">
      <c r="A301"/>
      <c r="B301"/>
      <c r="C301"/>
      <c r="D301"/>
      <c r="E301"/>
      <c r="F301"/>
      <c r="G301"/>
      <c r="H301"/>
      <c r="I301"/>
      <c r="J301"/>
      <c r="K301"/>
      <c r="L301"/>
      <c r="M301"/>
      <c r="N301"/>
    </row>
    <row r="302" spans="1:14" s="132" customFormat="1" ht="21.75" customHeight="1">
      <c r="A302"/>
      <c r="B302"/>
      <c r="C302"/>
      <c r="D302"/>
      <c r="E302"/>
      <c r="F302"/>
      <c r="G302"/>
      <c r="H302"/>
      <c r="I302"/>
      <c r="J302"/>
      <c r="K302"/>
      <c r="L302"/>
      <c r="M302"/>
      <c r="N302"/>
    </row>
    <row r="303" spans="1:14" s="132" customFormat="1" ht="21.75" customHeight="1">
      <c r="A303"/>
      <c r="B303"/>
      <c r="C303"/>
      <c r="D303"/>
      <c r="E303"/>
      <c r="F303"/>
      <c r="G303"/>
      <c r="H303"/>
      <c r="I303"/>
      <c r="J303"/>
      <c r="K303"/>
      <c r="L303"/>
      <c r="M303"/>
      <c r="N303"/>
    </row>
    <row r="304" spans="1:14" s="132" customFormat="1" ht="21.75" customHeight="1">
      <c r="A304"/>
      <c r="B304"/>
      <c r="C304"/>
      <c r="D304"/>
      <c r="E304"/>
      <c r="F304"/>
      <c r="G304"/>
      <c r="H304"/>
      <c r="I304"/>
      <c r="J304"/>
      <c r="K304"/>
      <c r="L304"/>
      <c r="M304"/>
      <c r="N304"/>
    </row>
    <row r="305" spans="1:14" s="132" customFormat="1" ht="21.75" customHeight="1">
      <c r="A305"/>
      <c r="B305"/>
      <c r="C305"/>
      <c r="D305"/>
      <c r="E305"/>
      <c r="F305"/>
      <c r="G305"/>
      <c r="H305"/>
      <c r="I305"/>
      <c r="J305"/>
      <c r="K305"/>
      <c r="L305"/>
      <c r="M305"/>
      <c r="N305"/>
    </row>
    <row r="306" spans="1:14" s="132" customFormat="1" ht="21.75" customHeight="1">
      <c r="A306"/>
      <c r="B306"/>
      <c r="C306"/>
      <c r="D306"/>
      <c r="E306"/>
      <c r="F306"/>
      <c r="G306"/>
      <c r="H306"/>
      <c r="I306"/>
      <c r="J306"/>
      <c r="K306"/>
      <c r="L306"/>
      <c r="M306"/>
      <c r="N306"/>
    </row>
    <row r="307" spans="1:14" s="132" customFormat="1" ht="21.75" customHeight="1">
      <c r="A307"/>
      <c r="B307"/>
      <c r="C307"/>
      <c r="D307"/>
      <c r="E307"/>
      <c r="F307"/>
      <c r="G307"/>
      <c r="H307"/>
      <c r="I307"/>
      <c r="J307"/>
      <c r="K307"/>
      <c r="L307"/>
      <c r="M307"/>
      <c r="N307"/>
    </row>
    <row r="308" spans="1:14" s="132" customFormat="1" ht="21.75" customHeight="1">
      <c r="A308"/>
      <c r="B308"/>
      <c r="C308"/>
      <c r="D308"/>
      <c r="E308"/>
      <c r="F308"/>
      <c r="G308"/>
      <c r="H308"/>
      <c r="I308"/>
      <c r="J308"/>
      <c r="K308"/>
      <c r="L308"/>
      <c r="M308"/>
      <c r="N308"/>
    </row>
    <row r="309" spans="1:15" s="132" customFormat="1" ht="21.75" customHeight="1">
      <c r="A309"/>
      <c r="B309"/>
      <c r="C309"/>
      <c r="D309"/>
      <c r="E309"/>
      <c r="F309"/>
      <c r="G309"/>
      <c r="H309"/>
      <c r="I309"/>
      <c r="J309"/>
      <c r="K309"/>
      <c r="L309"/>
      <c r="M309"/>
      <c r="N309"/>
      <c r="O309" s="133"/>
    </row>
    <row r="310" spans="1:14" s="132" customFormat="1" ht="21.75" customHeight="1">
      <c r="A310"/>
      <c r="B310"/>
      <c r="C310"/>
      <c r="D310"/>
      <c r="E310"/>
      <c r="F310"/>
      <c r="G310"/>
      <c r="H310"/>
      <c r="I310"/>
      <c r="J310"/>
      <c r="K310"/>
      <c r="L310"/>
      <c r="M310"/>
      <c r="N310"/>
    </row>
    <row r="311" ht="12.75" customHeight="1">
      <c r="N311"/>
    </row>
    <row r="312" ht="34.5" customHeight="1">
      <c r="N312"/>
    </row>
    <row r="313" ht="12.75" customHeight="1">
      <c r="N313"/>
    </row>
    <row r="314" ht="34.5" customHeight="1">
      <c r="N314"/>
    </row>
    <row r="315" ht="21.75" customHeight="1">
      <c r="N315"/>
    </row>
    <row r="316" ht="21.75" customHeight="1">
      <c r="N316"/>
    </row>
    <row r="317" ht="12.75" customHeight="1">
      <c r="N317"/>
    </row>
    <row r="318" ht="34.5" customHeight="1">
      <c r="N318"/>
    </row>
    <row r="319" ht="12.75" customHeight="1">
      <c r="N319"/>
    </row>
    <row r="320" ht="34.5" customHeight="1">
      <c r="N320"/>
    </row>
    <row r="321" ht="21.75" customHeight="1">
      <c r="N321"/>
    </row>
    <row r="322" ht="21.75" customHeight="1">
      <c r="N322"/>
    </row>
    <row r="323" ht="21.75" customHeight="1" hidden="1">
      <c r="N323"/>
    </row>
    <row r="324" ht="21.75" customHeight="1" hidden="1">
      <c r="N324"/>
    </row>
    <row r="325" ht="21.75" customHeight="1" hidden="1">
      <c r="N325"/>
    </row>
    <row r="326" ht="21.75" customHeight="1" hidden="1">
      <c r="N326"/>
    </row>
    <row r="327" ht="21.75" customHeight="1" hidden="1">
      <c r="N327"/>
    </row>
    <row r="328" ht="21.75" customHeight="1" hidden="1">
      <c r="N328"/>
    </row>
    <row r="329" ht="21.75" customHeight="1" hidden="1">
      <c r="N329"/>
    </row>
    <row r="330" ht="21.75" customHeight="1">
      <c r="N330"/>
    </row>
    <row r="331" ht="21.75" customHeight="1">
      <c r="N331"/>
    </row>
    <row r="332" ht="21.75" customHeight="1">
      <c r="N332"/>
    </row>
    <row r="333" ht="21.75" customHeight="1">
      <c r="N333"/>
    </row>
    <row r="334" ht="21.75" customHeight="1">
      <c r="N334"/>
    </row>
    <row r="335" ht="21.75" customHeight="1">
      <c r="N335"/>
    </row>
    <row r="336" ht="21.75" customHeight="1">
      <c r="N336"/>
    </row>
    <row r="337" ht="21.75" customHeight="1">
      <c r="N337"/>
    </row>
    <row r="338" ht="21.75" customHeight="1">
      <c r="N338"/>
    </row>
    <row r="339" ht="21.75" customHeight="1">
      <c r="N339"/>
    </row>
    <row r="340" ht="21.75" customHeight="1">
      <c r="N340"/>
    </row>
    <row r="341" ht="21.75" customHeight="1">
      <c r="N341"/>
    </row>
    <row r="342" ht="21.75" customHeight="1">
      <c r="N342"/>
    </row>
    <row r="343" ht="21.75" customHeight="1">
      <c r="N343"/>
    </row>
    <row r="344" ht="21.75" customHeight="1">
      <c r="N344"/>
    </row>
    <row r="345" ht="21.75" customHeight="1">
      <c r="N345"/>
    </row>
    <row r="346" ht="21.75" customHeight="1">
      <c r="N346"/>
    </row>
    <row r="347" ht="21.75" customHeight="1">
      <c r="N347"/>
    </row>
    <row r="348" ht="21.75" customHeight="1">
      <c r="N348"/>
    </row>
    <row r="349" ht="21.75" customHeight="1">
      <c r="N349"/>
    </row>
    <row r="350" ht="21.75" customHeight="1">
      <c r="N350"/>
    </row>
    <row r="351" ht="12.75">
      <c r="N351"/>
    </row>
    <row r="352" ht="12.75">
      <c r="N352"/>
    </row>
    <row r="353" ht="12.75">
      <c r="N353"/>
    </row>
    <row r="354" ht="12.75">
      <c r="N354"/>
    </row>
    <row r="355" ht="12.75">
      <c r="N355"/>
    </row>
    <row r="356" ht="12.75">
      <c r="N356"/>
    </row>
    <row r="357" ht="12.75">
      <c r="N357"/>
    </row>
    <row r="358" ht="12.75">
      <c r="N358"/>
    </row>
    <row r="359" ht="12.75">
      <c r="N359"/>
    </row>
    <row r="360" ht="12.75">
      <c r="N360"/>
    </row>
    <row r="361" ht="12.75">
      <c r="N361"/>
    </row>
    <row r="362" ht="12.75">
      <c r="N362"/>
    </row>
    <row r="363" ht="12.75">
      <c r="N363"/>
    </row>
    <row r="364" ht="12.75">
      <c r="N364"/>
    </row>
    <row r="365" ht="12.75">
      <c r="N365"/>
    </row>
    <row r="366" ht="12.75">
      <c r="N366"/>
    </row>
    <row r="367" ht="12.75">
      <c r="N367"/>
    </row>
    <row r="368" ht="12.75">
      <c r="N368"/>
    </row>
    <row r="369" ht="12.75">
      <c r="N369"/>
    </row>
    <row r="370" ht="12.75">
      <c r="N370"/>
    </row>
    <row r="371" ht="12.75">
      <c r="N371"/>
    </row>
    <row r="372" ht="12.75">
      <c r="N372"/>
    </row>
    <row r="373" ht="12.75">
      <c r="N373"/>
    </row>
    <row r="374" ht="12.75">
      <c r="N374"/>
    </row>
    <row r="375" ht="12.75">
      <c r="N375"/>
    </row>
    <row r="376" ht="12.75">
      <c r="N376"/>
    </row>
    <row r="377" ht="12.75">
      <c r="N377"/>
    </row>
    <row r="378" ht="12.75">
      <c r="N378"/>
    </row>
    <row r="379" ht="12.75">
      <c r="N379"/>
    </row>
    <row r="380" ht="12.75">
      <c r="N380"/>
    </row>
    <row r="381" ht="12.75">
      <c r="N381"/>
    </row>
    <row r="382" ht="12.75">
      <c r="N382"/>
    </row>
    <row r="383" ht="12.75">
      <c r="N383"/>
    </row>
    <row r="384" ht="12.75">
      <c r="N384"/>
    </row>
    <row r="385" ht="12.75">
      <c r="N385"/>
    </row>
    <row r="386" ht="12.75">
      <c r="N386"/>
    </row>
    <row r="387" ht="12.75">
      <c r="N387"/>
    </row>
    <row r="388" ht="12.75">
      <c r="N388"/>
    </row>
    <row r="389" ht="12.75">
      <c r="N389"/>
    </row>
    <row r="390" ht="12.75">
      <c r="N390"/>
    </row>
    <row r="391" ht="12.75">
      <c r="N391"/>
    </row>
    <row r="392" ht="12.75">
      <c r="N392"/>
    </row>
    <row r="393" ht="12.75">
      <c r="N393"/>
    </row>
    <row r="394" ht="12.75">
      <c r="N394"/>
    </row>
  </sheetData>
  <mergeCells count="78">
    <mergeCell ref="B284:E284"/>
    <mergeCell ref="A259:C259"/>
    <mergeCell ref="C265:C266"/>
    <mergeCell ref="A272:M272"/>
    <mergeCell ref="A282:F282"/>
    <mergeCell ref="A255:C255"/>
    <mergeCell ref="A256:C256"/>
    <mergeCell ref="A257:C257"/>
    <mergeCell ref="A258:C258"/>
    <mergeCell ref="A251:M251"/>
    <mergeCell ref="A252:M252"/>
    <mergeCell ref="A253:M253"/>
    <mergeCell ref="A254:C254"/>
    <mergeCell ref="C215:C216"/>
    <mergeCell ref="A222:M222"/>
    <mergeCell ref="A232:F232"/>
    <mergeCell ref="B234:E234"/>
    <mergeCell ref="A206:C206"/>
    <mergeCell ref="A207:C207"/>
    <mergeCell ref="A208:C208"/>
    <mergeCell ref="A209:C209"/>
    <mergeCell ref="A202:M202"/>
    <mergeCell ref="A203:M203"/>
    <mergeCell ref="A204:C204"/>
    <mergeCell ref="A205:C205"/>
    <mergeCell ref="A172:M172"/>
    <mergeCell ref="A182:F182"/>
    <mergeCell ref="B184:E184"/>
    <mergeCell ref="A201:M201"/>
    <mergeCell ref="A157:C157"/>
    <mergeCell ref="A158:C158"/>
    <mergeCell ref="A159:C159"/>
    <mergeCell ref="C165:C166"/>
    <mergeCell ref="A153:M153"/>
    <mergeCell ref="A154:C154"/>
    <mergeCell ref="A155:C155"/>
    <mergeCell ref="A156:C156"/>
    <mergeCell ref="A132:F132"/>
    <mergeCell ref="B134:E134"/>
    <mergeCell ref="A151:M151"/>
    <mergeCell ref="A152:M152"/>
    <mergeCell ref="A108:C108"/>
    <mergeCell ref="A109:C109"/>
    <mergeCell ref="C115:C116"/>
    <mergeCell ref="A122:M122"/>
    <mergeCell ref="A104:C104"/>
    <mergeCell ref="A105:C105"/>
    <mergeCell ref="A106:C106"/>
    <mergeCell ref="A107:C107"/>
    <mergeCell ref="B84:E84"/>
    <mergeCell ref="A101:M101"/>
    <mergeCell ref="A102:M102"/>
    <mergeCell ref="A103:M103"/>
    <mergeCell ref="A59:C59"/>
    <mergeCell ref="C65:C66"/>
    <mergeCell ref="A72:M72"/>
    <mergeCell ref="A82:F82"/>
    <mergeCell ref="A55:C55"/>
    <mergeCell ref="A56:C56"/>
    <mergeCell ref="A57:C57"/>
    <mergeCell ref="A58:C58"/>
    <mergeCell ref="A51:M51"/>
    <mergeCell ref="A52:M52"/>
    <mergeCell ref="A53:M53"/>
    <mergeCell ref="A54:C54"/>
    <mergeCell ref="A1:M1"/>
    <mergeCell ref="A2:M2"/>
    <mergeCell ref="A6:C6"/>
    <mergeCell ref="A7:C7"/>
    <mergeCell ref="A3:M3"/>
    <mergeCell ref="A4:C4"/>
    <mergeCell ref="A5:C5"/>
    <mergeCell ref="B34:E34"/>
    <mergeCell ref="A32:F32"/>
    <mergeCell ref="A8:C8"/>
    <mergeCell ref="A22:M22"/>
    <mergeCell ref="A9:C9"/>
    <mergeCell ref="C15:C16"/>
  </mergeCells>
  <conditionalFormatting sqref="D11:L11 D13:L13 D17:L17 M15:M16 D19:L19 D61:L61 D63:L63 D67:L67 M65:M66 D69:L69 D113:L113 D111:L111 D117:L117 M115:M116 D119:L119 D161:L161 D163:L163 D167:L167 M165:M166 D169:L169 D211:L211 D213:L213 D217:L217 M215:M216 D219:L219 D263:L263 D267:L267 D269:L269 M265:M266 D261:L261">
    <cfRule type="cellIs" priority="1" dxfId="0" operator="equal" stopIfTrue="1">
      <formula>0</formula>
    </cfRule>
  </conditionalFormatting>
  <printOptions/>
  <pageMargins left="0.53" right="0.29" top="0.5" bottom="0.5" header="0.25" footer="0.25"/>
  <pageSetup horizontalDpi="300" verticalDpi="300" orientation="portrait" scale="75" r:id="rId2"/>
  <rowBreaks count="6" manualBreakCount="6">
    <brk id="50" max="12" man="1"/>
    <brk id="100" max="12" man="1"/>
    <brk id="150" max="12" man="1"/>
    <brk id="200" max="12" man="1"/>
    <brk id="250" max="12" man="1"/>
    <brk id="300" max="12" man="1"/>
  </rowBreaks>
  <drawing r:id="rId1"/>
</worksheet>
</file>

<file path=xl/worksheets/sheet4.xml><?xml version="1.0" encoding="utf-8"?>
<worksheet xmlns="http://schemas.openxmlformats.org/spreadsheetml/2006/main" xmlns:r="http://schemas.openxmlformats.org/officeDocument/2006/relationships">
  <sheetPr codeName="Sheet8"/>
  <dimension ref="A1:IN79"/>
  <sheetViews>
    <sheetView showGridLines="0" showRowColHeaders="0" workbookViewId="0" topLeftCell="A1">
      <pane ySplit="1" topLeftCell="BM37" activePane="bottomLeft" state="frozen"/>
      <selection pane="topLeft" activeCell="A1" sqref="A1"/>
      <selection pane="bottomLeft" activeCell="A1" sqref="A1:A2"/>
    </sheetView>
  </sheetViews>
  <sheetFormatPr defaultColWidth="9.140625" defaultRowHeight="12.75"/>
  <cols>
    <col min="3" max="3" width="20.57421875" style="0" customWidth="1"/>
    <col min="4" max="4" width="6.8515625" style="0" customWidth="1"/>
    <col min="6" max="6" width="9.421875" style="0" customWidth="1"/>
  </cols>
  <sheetData>
    <row r="1" spans="4:20" ht="21" customHeight="1">
      <c r="D1" s="85" t="s">
        <v>107</v>
      </c>
      <c r="E1" s="40">
        <v>0.8</v>
      </c>
      <c r="F1" s="85" t="s">
        <v>177</v>
      </c>
      <c r="G1" s="85" t="s">
        <v>99</v>
      </c>
      <c r="H1" s="85" t="s">
        <v>100</v>
      </c>
      <c r="I1" s="85" t="s">
        <v>101</v>
      </c>
      <c r="J1" s="85" t="s">
        <v>102</v>
      </c>
      <c r="K1" s="85" t="s">
        <v>103</v>
      </c>
      <c r="L1" s="85" t="s">
        <v>104</v>
      </c>
      <c r="M1" s="85" t="s">
        <v>105</v>
      </c>
      <c r="N1" s="85" t="s">
        <v>110</v>
      </c>
      <c r="O1" s="85" t="s">
        <v>111</v>
      </c>
      <c r="P1" s="85" t="s">
        <v>112</v>
      </c>
      <c r="Q1" s="85" t="s">
        <v>113</v>
      </c>
      <c r="R1" s="85" t="s">
        <v>114</v>
      </c>
      <c r="S1" s="85" t="s">
        <v>115</v>
      </c>
      <c r="T1" s="85" t="s">
        <v>116</v>
      </c>
    </row>
    <row r="2" spans="1:7" ht="12.75">
      <c r="A2" s="1"/>
      <c r="B2" s="4"/>
      <c r="C2" s="4"/>
      <c r="D2" s="4"/>
      <c r="E2" s="6" t="s">
        <v>0</v>
      </c>
      <c r="G2" s="8"/>
    </row>
    <row r="3" spans="2:16" ht="12.75">
      <c r="B3" s="5" t="s">
        <v>2</v>
      </c>
      <c r="C3" s="5" t="s">
        <v>4</v>
      </c>
      <c r="D3" s="6" t="s">
        <v>108</v>
      </c>
      <c r="E3" s="2">
        <v>7</v>
      </c>
      <c r="F3">
        <v>46</v>
      </c>
      <c r="G3" s="7">
        <v>46</v>
      </c>
      <c r="H3" s="7">
        <v>44</v>
      </c>
      <c r="I3" s="7">
        <v>44</v>
      </c>
      <c r="J3" s="186">
        <v>46</v>
      </c>
      <c r="K3" s="1">
        <v>51</v>
      </c>
      <c r="L3" s="7">
        <v>43</v>
      </c>
      <c r="M3">
        <v>48</v>
      </c>
      <c r="N3">
        <v>47</v>
      </c>
      <c r="O3">
        <v>39</v>
      </c>
      <c r="P3">
        <v>46</v>
      </c>
    </row>
    <row r="4" spans="2:248" ht="12.75">
      <c r="B4" s="5"/>
      <c r="C4" s="5"/>
      <c r="D4" s="5"/>
      <c r="E4" s="5"/>
      <c r="F4" s="9">
        <f>IF(F3&lt;&gt;"",ROUND($E$1*(F3-36),0),"")</f>
        <v>8</v>
      </c>
      <c r="G4" s="9">
        <f>IF(G3&lt;&gt;"",ROUND($E$1*(AVERAGE(F3:G3)-36),0),"")</f>
        <v>8</v>
      </c>
      <c r="H4" s="9">
        <f>IF(H3&lt;&gt;"",ROUND($E$1*(AVERAGE(F3:H3)-36),0),"")</f>
        <v>7</v>
      </c>
      <c r="I4" s="9">
        <f>IF(I3&lt;&gt;"",ROUND($E$1*(AVERAGE(F3:I3)-36),0),"")</f>
        <v>7</v>
      </c>
      <c r="J4" s="9">
        <f>IF(J3&lt;&gt;"",ROUND($E$1*(AVERAGE(F3:J3)-36),0),"")</f>
        <v>7</v>
      </c>
      <c r="K4" s="9">
        <f>IF(K3&lt;&gt;"",ROUND($E$1*(AVERAGE(G3:K3)-36),0),"")</f>
        <v>8</v>
      </c>
      <c r="L4" s="9">
        <f aca="true" t="shared" si="0" ref="L4:U4">IF(L3&lt;&gt;"",ROUND($E$1*(AVERAGE(H3:L3)-36),0),"")</f>
        <v>8</v>
      </c>
      <c r="M4" s="9">
        <f t="shared" si="0"/>
        <v>8</v>
      </c>
      <c r="N4" s="9">
        <f t="shared" si="0"/>
        <v>9</v>
      </c>
      <c r="O4" s="9">
        <f t="shared" si="0"/>
        <v>8</v>
      </c>
      <c r="P4" s="9">
        <f t="shared" si="0"/>
        <v>7</v>
      </c>
      <c r="Q4" s="9">
        <f t="shared" si="0"/>
      </c>
      <c r="R4" s="9">
        <f t="shared" si="0"/>
      </c>
      <c r="S4" s="9">
        <f t="shared" si="0"/>
      </c>
      <c r="T4" s="9">
        <f t="shared" si="0"/>
      </c>
      <c r="U4" s="9">
        <f t="shared" si="0"/>
      </c>
      <c r="V4">
        <v>0</v>
      </c>
      <c r="IN4" s="41"/>
    </row>
    <row r="5" spans="2:14" ht="12.75">
      <c r="B5" s="5" t="s">
        <v>3</v>
      </c>
      <c r="C5" s="5" t="s">
        <v>5</v>
      </c>
      <c r="D5" s="6" t="s">
        <v>108</v>
      </c>
      <c r="E5" s="2">
        <v>7</v>
      </c>
      <c r="F5">
        <v>46</v>
      </c>
      <c r="G5" s="12">
        <v>43</v>
      </c>
      <c r="H5" s="12">
        <v>45</v>
      </c>
      <c r="I5" s="12">
        <v>45</v>
      </c>
      <c r="J5" s="186">
        <v>48</v>
      </c>
      <c r="K5" s="1">
        <v>47</v>
      </c>
      <c r="L5" s="12">
        <v>40</v>
      </c>
      <c r="M5" s="1">
        <v>45</v>
      </c>
      <c r="N5" s="1"/>
    </row>
    <row r="6" spans="2:25" ht="12.75">
      <c r="B6" s="5"/>
      <c r="C6" s="5"/>
      <c r="D6" s="5"/>
      <c r="E6" s="5"/>
      <c r="F6" s="9">
        <f>IF(F5&lt;&gt;"",ROUND($E$1*(F5-36),0),"")</f>
        <v>8</v>
      </c>
      <c r="G6" s="9">
        <f>IF(G5&lt;&gt;"",ROUND($E$1*(AVERAGE(F5:G5)-36),0),"")</f>
        <v>7</v>
      </c>
      <c r="H6" s="9">
        <f>IF(H5&lt;&gt;"",ROUND($E$1*(AVERAGE(F5:H5)-36),0),"")</f>
        <v>7</v>
      </c>
      <c r="I6" s="9">
        <f>IF(I5&lt;&gt;"",ROUND($E$1*(AVERAGE(F5:I5)-36),0),"")</f>
        <v>7</v>
      </c>
      <c r="J6" s="63">
        <f>IF(J5&lt;&gt;"",ROUND($E$1*(AVERAGE(F5:J5)-36),0),"")</f>
        <v>8</v>
      </c>
      <c r="K6" s="9">
        <f>IF(K5&lt;&gt;"",ROUND($E$1*(AVERAGE(G5:K5)-36),0),"")</f>
        <v>8</v>
      </c>
      <c r="L6" s="9">
        <f aca="true" t="shared" si="1" ref="L6:U6">IF(L5&lt;&gt;"",ROUND($E$1*(AVERAGE(H5:L5)-36),0),"")</f>
        <v>7</v>
      </c>
      <c r="M6" s="9">
        <f t="shared" si="1"/>
        <v>7</v>
      </c>
      <c r="N6" s="9">
        <f t="shared" si="1"/>
      </c>
      <c r="O6" s="9">
        <f t="shared" si="1"/>
      </c>
      <c r="P6" s="9">
        <f t="shared" si="1"/>
      </c>
      <c r="Q6" s="9">
        <f t="shared" si="1"/>
      </c>
      <c r="R6" s="9">
        <f t="shared" si="1"/>
      </c>
      <c r="S6" s="9">
        <f t="shared" si="1"/>
      </c>
      <c r="T6" s="9">
        <f t="shared" si="1"/>
      </c>
      <c r="U6" s="9">
        <f t="shared" si="1"/>
      </c>
      <c r="V6">
        <v>0</v>
      </c>
      <c r="W6">
        <v>62</v>
      </c>
      <c r="X6">
        <v>58</v>
      </c>
      <c r="Y6">
        <v>56</v>
      </c>
    </row>
    <row r="7" spans="2:15" ht="12.75">
      <c r="B7" s="5" t="s">
        <v>34</v>
      </c>
      <c r="C7" s="5" t="s">
        <v>45</v>
      </c>
      <c r="D7" s="6" t="s">
        <v>108</v>
      </c>
      <c r="E7" s="2">
        <v>6</v>
      </c>
      <c r="F7">
        <v>45</v>
      </c>
      <c r="G7" s="1">
        <v>37</v>
      </c>
      <c r="H7" s="1">
        <v>44</v>
      </c>
      <c r="I7" s="1">
        <v>50</v>
      </c>
      <c r="J7" s="185">
        <v>44</v>
      </c>
      <c r="K7" s="1">
        <v>43</v>
      </c>
      <c r="L7" s="1">
        <v>46</v>
      </c>
      <c r="M7" s="1">
        <v>47</v>
      </c>
      <c r="N7" s="1">
        <v>41</v>
      </c>
      <c r="O7">
        <v>43</v>
      </c>
    </row>
    <row r="8" spans="2:22" ht="12.75">
      <c r="B8" s="5"/>
      <c r="C8" s="5"/>
      <c r="D8" s="5"/>
      <c r="E8" s="5"/>
      <c r="F8" s="9">
        <f>IF(F7&lt;&gt;"",ROUND($E$1*(F7-36),0),"")</f>
        <v>7</v>
      </c>
      <c r="G8" s="9">
        <f>IF(G7&lt;&gt;"",ROUND($E$1*(AVERAGE(F7:G7)-36),0),"")</f>
        <v>4</v>
      </c>
      <c r="H8" s="9">
        <f>IF(H7&lt;&gt;"",ROUND($E$1*(AVERAGE(F7:H7)-36),0),"")</f>
        <v>5</v>
      </c>
      <c r="I8" s="9">
        <f>IF(I7&lt;&gt;"",ROUND($E$1*(AVERAGE(F7:I7)-36),0),"")</f>
        <v>6</v>
      </c>
      <c r="J8" s="9">
        <f>IF(J7&lt;&gt;"",ROUND($E$1*(AVERAGE(F7:J7)-36),0),"")</f>
        <v>6</v>
      </c>
      <c r="K8" s="9">
        <f>IF(K7&lt;&gt;"",ROUND($E$1*(AVERAGE(G7:K7)-36),0),"")</f>
        <v>6</v>
      </c>
      <c r="L8" s="9">
        <f aca="true" t="shared" si="2" ref="L8:U8">IF(L7&lt;&gt;"",ROUND($E$1*(AVERAGE(H7:L7)-36),0),"")</f>
        <v>8</v>
      </c>
      <c r="M8" s="9">
        <f t="shared" si="2"/>
        <v>8</v>
      </c>
      <c r="N8" s="9">
        <f t="shared" si="2"/>
        <v>7</v>
      </c>
      <c r="O8" s="9">
        <f t="shared" si="2"/>
        <v>6</v>
      </c>
      <c r="P8" s="9">
        <f t="shared" si="2"/>
      </c>
      <c r="Q8" s="9">
        <f t="shared" si="2"/>
      </c>
      <c r="R8" s="9">
        <f t="shared" si="2"/>
      </c>
      <c r="S8" s="9">
        <f t="shared" si="2"/>
      </c>
      <c r="T8" s="9">
        <f t="shared" si="2"/>
      </c>
      <c r="U8" s="9">
        <f t="shared" si="2"/>
      </c>
      <c r="V8">
        <v>0</v>
      </c>
    </row>
    <row r="9" spans="2:14" ht="12.75">
      <c r="B9" s="5" t="s">
        <v>35</v>
      </c>
      <c r="C9" s="5" t="s">
        <v>43</v>
      </c>
      <c r="D9" s="6" t="s">
        <v>108</v>
      </c>
      <c r="E9" s="2">
        <v>9</v>
      </c>
      <c r="F9">
        <v>51</v>
      </c>
      <c r="G9" s="1">
        <v>48</v>
      </c>
      <c r="H9" s="1">
        <v>57</v>
      </c>
      <c r="I9" s="1">
        <v>48</v>
      </c>
      <c r="J9" s="185">
        <v>45</v>
      </c>
      <c r="K9" s="1">
        <v>50</v>
      </c>
      <c r="L9" s="1">
        <v>42</v>
      </c>
      <c r="M9" s="1">
        <v>53</v>
      </c>
      <c r="N9" s="1">
        <v>46</v>
      </c>
    </row>
    <row r="10" spans="2:21" ht="12.75">
      <c r="B10" s="5"/>
      <c r="C10" s="5"/>
      <c r="D10" s="5"/>
      <c r="E10" s="5"/>
      <c r="F10" s="9">
        <f>IF(F9&lt;&gt;"",ROUND($E$1*(F9-36),0),"")</f>
        <v>12</v>
      </c>
      <c r="G10" s="9">
        <f>IF(G9&lt;&gt;"",ROUND($E$1*(AVERAGE(F9:G9)-36),0),"")</f>
        <v>11</v>
      </c>
      <c r="H10" s="9">
        <f>IF(H9&lt;&gt;"",ROUND($E$1*(AVERAGE(F9:H9)-36),0),"")</f>
        <v>13</v>
      </c>
      <c r="I10" s="9">
        <f>IF(I9&lt;&gt;"",ROUND($E$1*(AVERAGE(F9:I9)-36),0),"")</f>
        <v>12</v>
      </c>
      <c r="J10" s="9">
        <f>IF(J9&lt;&gt;"",ROUND($E$1*(AVERAGE(F9:J9)-36),0),"")</f>
        <v>11</v>
      </c>
      <c r="K10" s="9">
        <f>IF(K9&lt;&gt;"",ROUND($E$1*(AVERAGE(G9:K9)-36),0),"")</f>
        <v>11</v>
      </c>
      <c r="L10" s="9">
        <f aca="true" t="shared" si="3" ref="L10:U10">IF(L9&lt;&gt;"",ROUND($E$1*(AVERAGE(H9:L9)-36),0),"")</f>
        <v>10</v>
      </c>
      <c r="M10" s="9">
        <f t="shared" si="3"/>
        <v>9</v>
      </c>
      <c r="N10" s="9">
        <f t="shared" si="3"/>
        <v>9</v>
      </c>
      <c r="O10" s="9">
        <f t="shared" si="3"/>
      </c>
      <c r="P10" s="9">
        <f t="shared" si="3"/>
      </c>
      <c r="Q10" s="9">
        <f t="shared" si="3"/>
      </c>
      <c r="R10" s="9">
        <f t="shared" si="3"/>
      </c>
      <c r="S10" s="9">
        <f t="shared" si="3"/>
      </c>
      <c r="T10" s="9">
        <f t="shared" si="3"/>
      </c>
      <c r="U10" s="9">
        <f t="shared" si="3"/>
      </c>
    </row>
    <row r="11" spans="2:16" ht="12.75">
      <c r="B11" s="5" t="s">
        <v>37</v>
      </c>
      <c r="C11" s="5" t="s">
        <v>36</v>
      </c>
      <c r="D11" s="6" t="s">
        <v>108</v>
      </c>
      <c r="E11" s="2">
        <v>6</v>
      </c>
      <c r="F11">
        <v>43</v>
      </c>
      <c r="G11" s="1">
        <v>47</v>
      </c>
      <c r="H11" s="1">
        <v>43</v>
      </c>
      <c r="I11" s="1">
        <v>45</v>
      </c>
      <c r="J11" s="185">
        <v>46</v>
      </c>
      <c r="K11" s="1">
        <v>43</v>
      </c>
      <c r="L11" s="1">
        <v>44</v>
      </c>
      <c r="M11" s="1">
        <v>41</v>
      </c>
      <c r="N11" s="1">
        <v>44</v>
      </c>
      <c r="O11">
        <v>43</v>
      </c>
      <c r="P11">
        <v>44</v>
      </c>
    </row>
    <row r="12" spans="2:21" ht="12.75">
      <c r="B12" s="5"/>
      <c r="C12" s="5"/>
      <c r="D12" s="5"/>
      <c r="E12" s="2"/>
      <c r="F12" s="9">
        <f>IF(F11&lt;&gt;"",ROUND($E$1*(F11-36),0),"")</f>
        <v>6</v>
      </c>
      <c r="G12" s="9">
        <f>IF(G11&lt;&gt;"",ROUND($E$1*(AVERAGE(F11:G11)-36),0),"")</f>
        <v>7</v>
      </c>
      <c r="H12" s="9">
        <f>IF(H11&lt;&gt;"",ROUND($E$1*(AVERAGE(F11:H11)-36),0),"")</f>
        <v>7</v>
      </c>
      <c r="I12" s="9">
        <f>IF(I11&lt;&gt;"",ROUND($E$1*(AVERAGE(F11:I11)-36),0),"")</f>
        <v>7</v>
      </c>
      <c r="J12" s="9">
        <f>IF(J11&lt;&gt;"",ROUND($E$1*(AVERAGE(F11:J11)-36),0),"")</f>
        <v>7</v>
      </c>
      <c r="K12" s="9">
        <f>IF(K11&lt;&gt;"",ROUND($E$1*(AVERAGE(G11:K11)-36),0),"")</f>
        <v>7</v>
      </c>
      <c r="L12" s="9">
        <f aca="true" t="shared" si="4" ref="L12:U12">IF(L11&lt;&gt;"",ROUND($E$1*(AVERAGE(H11:L11)-36),0),"")</f>
        <v>7</v>
      </c>
      <c r="M12" s="9">
        <f t="shared" si="4"/>
        <v>6</v>
      </c>
      <c r="N12" s="9">
        <f t="shared" si="4"/>
        <v>6</v>
      </c>
      <c r="O12" s="9">
        <f t="shared" si="4"/>
        <v>6</v>
      </c>
      <c r="P12" s="9">
        <f t="shared" si="4"/>
        <v>6</v>
      </c>
      <c r="Q12" s="9">
        <f t="shared" si="4"/>
      </c>
      <c r="R12" s="9">
        <f t="shared" si="4"/>
      </c>
      <c r="S12" s="9">
        <f t="shared" si="4"/>
      </c>
      <c r="T12" s="9">
        <f t="shared" si="4"/>
      </c>
      <c r="U12" s="9">
        <f t="shared" si="4"/>
      </c>
    </row>
    <row r="13" spans="2:16" ht="12.75">
      <c r="B13" s="5" t="s">
        <v>38</v>
      </c>
      <c r="C13" s="5" t="s">
        <v>170</v>
      </c>
      <c r="D13" s="6" t="s">
        <v>108</v>
      </c>
      <c r="E13" s="2">
        <v>11</v>
      </c>
      <c r="F13">
        <v>50</v>
      </c>
      <c r="G13">
        <v>54</v>
      </c>
      <c r="H13" s="1">
        <v>55</v>
      </c>
      <c r="I13" s="1">
        <v>46</v>
      </c>
      <c r="J13" s="185">
        <v>47</v>
      </c>
      <c r="K13" s="1">
        <v>55</v>
      </c>
      <c r="L13" s="1">
        <v>53</v>
      </c>
      <c r="M13" s="1">
        <v>49</v>
      </c>
      <c r="N13" s="1">
        <v>52</v>
      </c>
      <c r="O13">
        <v>42</v>
      </c>
      <c r="P13">
        <v>50</v>
      </c>
    </row>
    <row r="14" spans="2:21" ht="12.75">
      <c r="B14" s="5"/>
      <c r="C14" s="5"/>
      <c r="D14" s="5"/>
      <c r="E14" s="5"/>
      <c r="F14" s="9">
        <f>IF(F13&lt;&gt;"",ROUND($E$1*(F13-36),0),"")</f>
        <v>11</v>
      </c>
      <c r="G14" s="9">
        <f>IF(G13&lt;&gt;"",ROUND($E$1*(AVERAGE(F13:G13)-36),0),"")</f>
        <v>13</v>
      </c>
      <c r="H14" s="9">
        <f>IF(H13&lt;&gt;"",ROUND($E$1*(AVERAGE(F13:H13)-36),0),"")</f>
        <v>14</v>
      </c>
      <c r="I14" s="9">
        <f>IF(I13&lt;&gt;"",ROUND($E$1*(AVERAGE(F13:I13)-36),0),"")</f>
        <v>12</v>
      </c>
      <c r="J14" s="9">
        <f>IF(J13&lt;&gt;"",ROUND($E$1*(AVERAGE(F13:J13)-36),0),"")</f>
        <v>12</v>
      </c>
      <c r="K14" s="9">
        <f>IF(K13&lt;&gt;"",ROUND($E$1*(AVERAGE(G13:K13)-36),0),"")</f>
        <v>12</v>
      </c>
      <c r="L14" s="9">
        <f aca="true" t="shared" si="5" ref="L14:U14">IF(L13&lt;&gt;"",ROUND($E$1*(AVERAGE(H13:L13)-36),0),"")</f>
        <v>12</v>
      </c>
      <c r="M14" s="9">
        <f t="shared" si="5"/>
        <v>11</v>
      </c>
      <c r="N14" s="9">
        <f t="shared" si="5"/>
        <v>12</v>
      </c>
      <c r="O14" s="9">
        <f t="shared" si="5"/>
        <v>11</v>
      </c>
      <c r="P14" s="9">
        <f t="shared" si="5"/>
        <v>11</v>
      </c>
      <c r="Q14" s="9">
        <f t="shared" si="5"/>
      </c>
      <c r="R14" s="9">
        <f t="shared" si="5"/>
      </c>
      <c r="S14" s="9">
        <f t="shared" si="5"/>
      </c>
      <c r="T14" s="9">
        <f t="shared" si="5"/>
      </c>
      <c r="U14" s="9">
        <f t="shared" si="5"/>
      </c>
    </row>
    <row r="15" spans="2:15" ht="12.75">
      <c r="B15" s="5" t="s">
        <v>39</v>
      </c>
      <c r="C15" s="5" t="s">
        <v>32</v>
      </c>
      <c r="D15" s="6" t="s">
        <v>109</v>
      </c>
      <c r="E15" s="2">
        <v>20</v>
      </c>
      <c r="F15">
        <v>61</v>
      </c>
      <c r="G15" s="1">
        <v>56</v>
      </c>
      <c r="H15" s="1">
        <v>65</v>
      </c>
      <c r="I15" s="1">
        <v>61</v>
      </c>
      <c r="J15" s="185">
        <v>56</v>
      </c>
      <c r="K15" s="1">
        <v>63</v>
      </c>
      <c r="L15" s="1">
        <v>65</v>
      </c>
      <c r="M15" s="1">
        <v>61</v>
      </c>
      <c r="N15" s="1">
        <v>54</v>
      </c>
      <c r="O15">
        <v>62</v>
      </c>
    </row>
    <row r="16" spans="2:21" ht="12.75">
      <c r="B16" s="5"/>
      <c r="C16" s="5"/>
      <c r="D16" s="5"/>
      <c r="E16" s="5"/>
      <c r="F16" s="9">
        <f>IF(F15&lt;&gt;"",ROUND($E$1*(F15-36),0),"")</f>
        <v>20</v>
      </c>
      <c r="G16" s="9">
        <f>IF(G15&lt;&gt;"",ROUND($E$1*(AVERAGE(F15:G15)-36),0),"")</f>
        <v>18</v>
      </c>
      <c r="H16" s="9">
        <f>IF(H15&lt;&gt;"",ROUND($E$1*(AVERAGE(F15:H15)-36),0),"")</f>
        <v>20</v>
      </c>
      <c r="I16" s="9">
        <f>IF(I15&lt;&gt;"",ROUND($E$1*(AVERAGE(F15:I15)-36),0),"")</f>
        <v>20</v>
      </c>
      <c r="J16" s="9">
        <f>IF(J15&lt;&gt;"",ROUND($E$1*(AVERAGE(F15:J15)-36),0),"")</f>
        <v>19</v>
      </c>
      <c r="K16" s="9">
        <f>IF(K15&lt;&gt;"",ROUND($E$1*(AVERAGE(G15:K15)-36),0),"")</f>
        <v>19</v>
      </c>
      <c r="L16" s="9">
        <f aca="true" t="shared" si="6" ref="L16:U16">IF(L15&lt;&gt;"",ROUND($E$1*(AVERAGE(H15:L15)-36),0),"")</f>
        <v>21</v>
      </c>
      <c r="M16" s="9">
        <f t="shared" si="6"/>
        <v>20</v>
      </c>
      <c r="N16" s="9">
        <f t="shared" si="6"/>
        <v>19</v>
      </c>
      <c r="O16" s="9">
        <f t="shared" si="6"/>
        <v>20</v>
      </c>
      <c r="P16" s="9">
        <f t="shared" si="6"/>
      </c>
      <c r="Q16" s="9">
        <f t="shared" si="6"/>
      </c>
      <c r="R16" s="9">
        <f t="shared" si="6"/>
      </c>
      <c r="S16" s="9">
        <f t="shared" si="6"/>
      </c>
      <c r="T16" s="9">
        <f t="shared" si="6"/>
      </c>
      <c r="U16" s="9">
        <f t="shared" si="6"/>
      </c>
    </row>
    <row r="17" spans="2:14" ht="12.75">
      <c r="B17" s="5" t="s">
        <v>41</v>
      </c>
      <c r="C17" s="5" t="s">
        <v>33</v>
      </c>
      <c r="D17" s="6" t="s">
        <v>109</v>
      </c>
      <c r="E17" s="2">
        <v>17</v>
      </c>
      <c r="F17">
        <v>69</v>
      </c>
      <c r="G17" s="1">
        <v>61</v>
      </c>
      <c r="H17" s="1">
        <v>60</v>
      </c>
      <c r="I17" s="1">
        <v>55</v>
      </c>
      <c r="J17" s="185">
        <v>58</v>
      </c>
      <c r="K17" s="1">
        <v>56</v>
      </c>
      <c r="L17" s="1">
        <v>54</v>
      </c>
      <c r="M17" s="1">
        <v>62</v>
      </c>
      <c r="N17" s="1"/>
    </row>
    <row r="18" spans="2:21" ht="12.75">
      <c r="B18" s="5"/>
      <c r="C18" s="5"/>
      <c r="D18" s="5"/>
      <c r="E18" s="5"/>
      <c r="F18" s="9">
        <f>IF(F17&lt;&gt;"",ROUND($E$1*(F17-36),0),"")</f>
        <v>26</v>
      </c>
      <c r="G18" s="9">
        <f>IF(G17&lt;&gt;"",ROUND($E$1*(AVERAGE(F17:G17)-36),0),"")</f>
        <v>23</v>
      </c>
      <c r="H18" s="9">
        <f>IF(H17&lt;&gt;"",ROUND($E$1*(AVERAGE(F17:H17)-36),0),"")</f>
        <v>22</v>
      </c>
      <c r="I18" s="9">
        <f>IF(I17&lt;&gt;"",ROUND($E$1*(AVERAGE(F17:I17)-36),0),"")</f>
        <v>20</v>
      </c>
      <c r="J18" s="9">
        <f>IF(J17&lt;&gt;"",ROUND($E$1*(AVERAGE(F17:J17)-36),0),"")</f>
        <v>20</v>
      </c>
      <c r="K18" s="9">
        <f>IF(K17&lt;&gt;"",ROUND($E$1*(AVERAGE(G17:K17)-36),0),"")</f>
        <v>18</v>
      </c>
      <c r="L18" s="9">
        <f aca="true" t="shared" si="7" ref="L18:U18">IF(L17&lt;&gt;"",ROUND($E$1*(AVERAGE(H17:L17)-36),0),"")</f>
        <v>16</v>
      </c>
      <c r="M18" s="9">
        <f t="shared" si="7"/>
        <v>17</v>
      </c>
      <c r="N18" s="9">
        <f t="shared" si="7"/>
      </c>
      <c r="O18" s="9">
        <f t="shared" si="7"/>
      </c>
      <c r="P18" s="9">
        <f t="shared" si="7"/>
      </c>
      <c r="Q18" s="9">
        <f t="shared" si="7"/>
      </c>
      <c r="R18" s="9">
        <f t="shared" si="7"/>
      </c>
      <c r="S18" s="9">
        <f t="shared" si="7"/>
      </c>
      <c r="T18" s="9">
        <f t="shared" si="7"/>
      </c>
      <c r="U18" s="9">
        <f t="shared" si="7"/>
      </c>
    </row>
    <row r="19" spans="2:16" ht="12.75">
      <c r="B19" s="5" t="s">
        <v>42</v>
      </c>
      <c r="C19" s="5" t="s">
        <v>14</v>
      </c>
      <c r="D19" s="6" t="s">
        <v>108</v>
      </c>
      <c r="E19" s="2">
        <v>5</v>
      </c>
      <c r="F19">
        <v>42</v>
      </c>
      <c r="G19" s="1">
        <v>46</v>
      </c>
      <c r="H19" s="1">
        <v>46</v>
      </c>
      <c r="I19" s="1">
        <v>43</v>
      </c>
      <c r="J19" s="185">
        <v>41</v>
      </c>
      <c r="K19" s="1">
        <v>42</v>
      </c>
      <c r="L19" s="1">
        <v>42</v>
      </c>
      <c r="M19" s="1">
        <v>44</v>
      </c>
      <c r="N19" s="1">
        <v>39</v>
      </c>
      <c r="O19">
        <v>43</v>
      </c>
      <c r="P19">
        <v>45</v>
      </c>
    </row>
    <row r="20" spans="2:21" ht="12.75">
      <c r="B20" s="5"/>
      <c r="C20" s="5"/>
      <c r="D20" s="5"/>
      <c r="E20" s="5"/>
      <c r="F20" s="9">
        <f>IF(F19&lt;&gt;"",ROUND($E$1*(F19-36),0),"")</f>
        <v>5</v>
      </c>
      <c r="G20" s="9">
        <f>IF(G19&lt;&gt;"",ROUND($E$1*(AVERAGE(F19:G19)-36),0),"")</f>
        <v>6</v>
      </c>
      <c r="H20" s="9">
        <f>IF(H19&lt;&gt;"",ROUND($E$1*(AVERAGE(F19:H19)-36),0),"")</f>
        <v>7</v>
      </c>
      <c r="I20" s="9">
        <f>IF(I19&lt;&gt;"",ROUND($E$1*(AVERAGE(F19:I19)-36),0),"")</f>
        <v>7</v>
      </c>
      <c r="J20" s="9">
        <f>IF(J19&lt;&gt;"",ROUND($E$1*(AVERAGE(F19:J19)-36),0),"")</f>
        <v>6</v>
      </c>
      <c r="K20" s="9">
        <f>IF(K19&lt;&gt;"",ROUND($E$1*(AVERAGE(G19:K19)-36),0),"")</f>
        <v>6</v>
      </c>
      <c r="L20" s="9">
        <f aca="true" t="shared" si="8" ref="L20:U20">IF(L19&lt;&gt;"",ROUND($E$1*(AVERAGE(H19:L19)-36),0),"")</f>
        <v>5</v>
      </c>
      <c r="M20" s="9">
        <f t="shared" si="8"/>
        <v>5</v>
      </c>
      <c r="N20" s="9">
        <f t="shared" si="8"/>
        <v>4</v>
      </c>
      <c r="O20" s="9">
        <f t="shared" si="8"/>
        <v>5</v>
      </c>
      <c r="P20" s="9">
        <f t="shared" si="8"/>
        <v>5</v>
      </c>
      <c r="Q20" s="9">
        <f t="shared" si="8"/>
      </c>
      <c r="R20" s="9">
        <f t="shared" si="8"/>
      </c>
      <c r="S20" s="9">
        <f t="shared" si="8"/>
      </c>
      <c r="T20" s="9">
        <f t="shared" si="8"/>
      </c>
      <c r="U20" s="9">
        <f t="shared" si="8"/>
      </c>
    </row>
    <row r="21" spans="2:16" ht="12.75">
      <c r="B21" s="5" t="s">
        <v>44</v>
      </c>
      <c r="C21" s="5" t="s">
        <v>158</v>
      </c>
      <c r="D21" s="6" t="s">
        <v>109</v>
      </c>
      <c r="E21" s="2">
        <v>17</v>
      </c>
      <c r="F21">
        <v>62</v>
      </c>
      <c r="G21" s="1">
        <v>63</v>
      </c>
      <c r="H21" s="1">
        <v>52</v>
      </c>
      <c r="I21" s="1">
        <v>47</v>
      </c>
      <c r="J21" s="185">
        <v>49</v>
      </c>
      <c r="K21" s="1">
        <v>61</v>
      </c>
      <c r="L21" s="1">
        <v>52</v>
      </c>
      <c r="M21" s="1">
        <v>56</v>
      </c>
      <c r="N21" s="1">
        <v>61</v>
      </c>
      <c r="O21">
        <v>56</v>
      </c>
      <c r="P21">
        <v>63</v>
      </c>
    </row>
    <row r="22" spans="2:22" ht="12.75">
      <c r="B22" s="5"/>
      <c r="C22" s="5"/>
      <c r="D22" s="5"/>
      <c r="E22" s="5"/>
      <c r="F22" s="9">
        <f>IF(F21&lt;&gt;"",ROUND($E$1*(F21-36),0),"")</f>
        <v>21</v>
      </c>
      <c r="G22" s="9">
        <f>IF(G21&lt;&gt;"",ROUND($E$1*(AVERAGE(F21:G21)-36),0),"")</f>
        <v>21</v>
      </c>
      <c r="H22" s="9">
        <f>IF(H21&lt;&gt;"",ROUND($E$1*(AVERAGE(F21:H21)-36),0),"")</f>
        <v>18</v>
      </c>
      <c r="I22" s="9">
        <f>IF(I21&lt;&gt;"",ROUND($E$1*(AVERAGE(F21:I21)-36),0),"")</f>
        <v>16</v>
      </c>
      <c r="J22" s="9">
        <f>IF(J21&lt;&gt;"",ROUND($E$1*(AVERAGE(F21:J21)-36),0),"")</f>
        <v>15</v>
      </c>
      <c r="K22" s="9">
        <f>IF(K21&lt;&gt;"",ROUND($E$1*(AVERAGE(G21:K21)-36),0),"")</f>
        <v>15</v>
      </c>
      <c r="L22" s="9">
        <f aca="true" t="shared" si="9" ref="L22:U22">IF(L21&lt;&gt;"",ROUND($E$1*(AVERAGE(H21:L21)-36),0),"")</f>
        <v>13</v>
      </c>
      <c r="M22" s="9">
        <f t="shared" si="9"/>
        <v>14</v>
      </c>
      <c r="N22" s="9">
        <f t="shared" si="9"/>
        <v>16</v>
      </c>
      <c r="O22" s="9">
        <f t="shared" si="9"/>
        <v>17</v>
      </c>
      <c r="P22" s="9">
        <f t="shared" si="9"/>
        <v>17</v>
      </c>
      <c r="Q22" s="9">
        <f t="shared" si="9"/>
      </c>
      <c r="R22" s="9">
        <f t="shared" si="9"/>
      </c>
      <c r="S22" s="9">
        <f t="shared" si="9"/>
      </c>
      <c r="T22" s="9">
        <f t="shared" si="9"/>
      </c>
      <c r="U22" s="9">
        <f t="shared" si="9"/>
      </c>
      <c r="V22">
        <v>0</v>
      </c>
    </row>
    <row r="23" spans="2:14" ht="12.75">
      <c r="B23" s="5" t="s">
        <v>30</v>
      </c>
      <c r="C23" s="5" t="s">
        <v>159</v>
      </c>
      <c r="D23" s="6" t="s">
        <v>108</v>
      </c>
      <c r="E23" s="2">
        <v>11</v>
      </c>
      <c r="F23" s="1">
        <v>48</v>
      </c>
      <c r="G23" s="1">
        <v>50</v>
      </c>
      <c r="H23" s="1">
        <v>48</v>
      </c>
      <c r="I23" s="1">
        <v>45</v>
      </c>
      <c r="J23" s="63">
        <v>53</v>
      </c>
      <c r="K23" s="1">
        <v>48</v>
      </c>
      <c r="L23" s="1">
        <v>49</v>
      </c>
      <c r="M23" s="1">
        <v>57</v>
      </c>
      <c r="N23" s="1">
        <v>43</v>
      </c>
    </row>
    <row r="24" spans="2:21" ht="12.75">
      <c r="B24" s="5"/>
      <c r="C24" s="5"/>
      <c r="D24" s="5"/>
      <c r="E24" s="5"/>
      <c r="F24" s="9">
        <f>IF(F23&lt;&gt;"",ROUND($E$1*(F23-36),0),"")</f>
        <v>10</v>
      </c>
      <c r="G24" s="9">
        <f>IF(G23&lt;&gt;"",ROUND($E$1*(AVERAGE(F23:G23)-36),0),"")</f>
        <v>10</v>
      </c>
      <c r="H24" s="9">
        <f>IF(H23&lt;&gt;"",ROUND($E$1*(AVERAGE(F23:H23)-36),0),"")</f>
        <v>10</v>
      </c>
      <c r="I24" s="9">
        <f>IF(I23&lt;&gt;"",ROUND($E$1*(AVERAGE(F23:I23)-36),0),"")</f>
        <v>9</v>
      </c>
      <c r="J24" s="9">
        <f>IF(J23&lt;&gt;"",ROUND($E$1*(AVERAGE(F23:J23)-36),0),"")</f>
        <v>10</v>
      </c>
      <c r="K24" s="9">
        <f>IF(K23&lt;&gt;"",ROUND($E$1*(AVERAGE(G23:K23)-36),0),"")</f>
        <v>10</v>
      </c>
      <c r="L24" s="9">
        <f aca="true" t="shared" si="10" ref="L24:U24">IF(L23&lt;&gt;"",ROUND($E$1*(AVERAGE(H23:L23)-36),0),"")</f>
        <v>10</v>
      </c>
      <c r="M24" s="9">
        <f t="shared" si="10"/>
        <v>12</v>
      </c>
      <c r="N24" s="9">
        <f t="shared" si="10"/>
        <v>11</v>
      </c>
      <c r="O24" s="9">
        <f t="shared" si="10"/>
      </c>
      <c r="P24" s="9">
        <f t="shared" si="10"/>
      </c>
      <c r="Q24" s="9">
        <f t="shared" si="10"/>
      </c>
      <c r="R24" s="9">
        <f t="shared" si="10"/>
      </c>
      <c r="S24" s="9">
        <f t="shared" si="10"/>
      </c>
      <c r="T24" s="9">
        <f t="shared" si="10"/>
      </c>
      <c r="U24" s="9">
        <f t="shared" si="10"/>
      </c>
    </row>
    <row r="25" spans="2:15" ht="12.75">
      <c r="B25" s="5" t="s">
        <v>31</v>
      </c>
      <c r="C25" s="5" t="s">
        <v>160</v>
      </c>
      <c r="D25" s="6" t="s">
        <v>108</v>
      </c>
      <c r="E25" s="2">
        <v>6</v>
      </c>
      <c r="F25" s="1">
        <v>50</v>
      </c>
      <c r="G25" s="1">
        <v>50</v>
      </c>
      <c r="H25" s="1">
        <v>46</v>
      </c>
      <c r="I25" s="1">
        <v>44</v>
      </c>
      <c r="J25" s="63">
        <v>52</v>
      </c>
      <c r="K25" s="1">
        <v>49</v>
      </c>
      <c r="L25" s="1">
        <v>42</v>
      </c>
      <c r="M25" s="1">
        <v>45</v>
      </c>
      <c r="N25" s="1">
        <v>42</v>
      </c>
      <c r="O25">
        <v>42</v>
      </c>
    </row>
    <row r="26" spans="2:21" ht="12.75">
      <c r="B26" s="5"/>
      <c r="C26" s="5"/>
      <c r="D26" s="5"/>
      <c r="E26" s="5"/>
      <c r="F26" s="9">
        <f>IF(F25&lt;&gt;"",ROUND($E$1*(F25-36),0),"")</f>
        <v>11</v>
      </c>
      <c r="G26" s="9">
        <f>IF(G25&lt;&gt;"",ROUND($E$1*(AVERAGE(F25:G25)-36),0),"")</f>
        <v>11</v>
      </c>
      <c r="H26" s="9">
        <f>IF(H25&lt;&gt;"",ROUND($E$1*(AVERAGE(F25:H25)-36),0),"")</f>
        <v>10</v>
      </c>
      <c r="I26" s="9">
        <f>IF(I25&lt;&gt;"",ROUND($E$1*(AVERAGE(F25:I25)-36),0),"")</f>
        <v>9</v>
      </c>
      <c r="J26" s="9">
        <f>IF(J25&lt;&gt;"",ROUND($E$1*(AVERAGE(F25:J25)-36),0),"")</f>
        <v>10</v>
      </c>
      <c r="K26" s="9">
        <f>IF(K25&lt;&gt;"",ROUND($E$1*(AVERAGE(G25:K25)-36),0),"")</f>
        <v>10</v>
      </c>
      <c r="L26" s="9">
        <f aca="true" t="shared" si="11" ref="L26:U26">IF(L25&lt;&gt;"",ROUND($E$1*(AVERAGE(H25:L25)-36),0),"")</f>
        <v>8</v>
      </c>
      <c r="M26" s="9">
        <f t="shared" si="11"/>
        <v>8</v>
      </c>
      <c r="N26" s="9">
        <f t="shared" si="11"/>
        <v>8</v>
      </c>
      <c r="O26" s="9">
        <f t="shared" si="11"/>
        <v>6</v>
      </c>
      <c r="P26" s="9">
        <f t="shared" si="11"/>
      </c>
      <c r="Q26" s="9">
        <f t="shared" si="11"/>
      </c>
      <c r="R26" s="9">
        <f t="shared" si="11"/>
      </c>
      <c r="S26" s="9">
        <f t="shared" si="11"/>
      </c>
      <c r="T26" s="9">
        <f t="shared" si="11"/>
      </c>
      <c r="U26" s="9">
        <f t="shared" si="11"/>
      </c>
    </row>
    <row r="27" spans="2:21" ht="12.75">
      <c r="B27" s="5" t="s">
        <v>46</v>
      </c>
      <c r="C27" s="5" t="s">
        <v>58</v>
      </c>
      <c r="D27" s="6" t="s">
        <v>108</v>
      </c>
      <c r="E27" s="2">
        <v>11</v>
      </c>
      <c r="F27">
        <v>55</v>
      </c>
      <c r="G27" s="1">
        <v>59</v>
      </c>
      <c r="H27" s="1">
        <v>55</v>
      </c>
      <c r="I27" s="1">
        <v>53</v>
      </c>
      <c r="J27" s="63">
        <v>56</v>
      </c>
      <c r="K27" s="1">
        <v>49</v>
      </c>
      <c r="L27" s="1">
        <v>47</v>
      </c>
      <c r="M27" s="1">
        <v>49</v>
      </c>
      <c r="N27" s="1">
        <v>52</v>
      </c>
      <c r="O27" s="1">
        <v>53</v>
      </c>
      <c r="P27" s="1"/>
      <c r="Q27" s="1"/>
      <c r="R27" s="1"/>
      <c r="S27" s="1"/>
      <c r="T27" s="1"/>
      <c r="U27" s="1"/>
    </row>
    <row r="28" spans="2:21" ht="12.75">
      <c r="B28" s="5"/>
      <c r="C28" s="5"/>
      <c r="D28" s="5"/>
      <c r="E28" s="5"/>
      <c r="F28" s="9">
        <f>IF(F27&lt;&gt;"",ROUND($E$1*(F27-36),0),"")</f>
        <v>15</v>
      </c>
      <c r="G28" s="9">
        <f>IF(G27&lt;&gt;"",ROUND($E$1*(AVERAGE(F27:G27)-36),0),"")</f>
        <v>17</v>
      </c>
      <c r="H28" s="9">
        <f>IF(H27&lt;&gt;"",ROUND($E$1*(AVERAGE(F27:H27)-36),0),"")</f>
        <v>16</v>
      </c>
      <c r="I28" s="9">
        <f>IF(I27&lt;&gt;"",ROUND($E$1*(AVERAGE(F27:I27)-36),0),"")</f>
        <v>16</v>
      </c>
      <c r="J28" s="9">
        <f>IF(J27&lt;&gt;"",ROUND($E$1*(AVERAGE(F27:J27)-36),0),"")</f>
        <v>16</v>
      </c>
      <c r="K28" s="9">
        <f>IF(K27&lt;&gt;"",ROUND($E$1*(AVERAGE(G27:K27)-36),0),"")</f>
        <v>15</v>
      </c>
      <c r="L28" s="9">
        <f aca="true" t="shared" si="12" ref="L28:U28">IF(L27&lt;&gt;"",ROUND($E$1*(AVERAGE(H27:L27)-36),0),"")</f>
        <v>13</v>
      </c>
      <c r="M28" s="9">
        <f t="shared" si="12"/>
        <v>12</v>
      </c>
      <c r="N28" s="9">
        <f t="shared" si="12"/>
        <v>12</v>
      </c>
      <c r="O28" s="9">
        <f t="shared" si="12"/>
        <v>11</v>
      </c>
      <c r="P28" s="9">
        <f t="shared" si="12"/>
      </c>
      <c r="Q28" s="9">
        <f t="shared" si="12"/>
      </c>
      <c r="R28" s="9">
        <f t="shared" si="12"/>
      </c>
      <c r="S28" s="9">
        <f t="shared" si="12"/>
      </c>
      <c r="T28" s="9">
        <f t="shared" si="12"/>
      </c>
      <c r="U28" s="9">
        <f t="shared" si="12"/>
      </c>
    </row>
    <row r="29" spans="2:14" ht="12.75">
      <c r="B29" s="5" t="s">
        <v>47</v>
      </c>
      <c r="C29" s="5" t="s">
        <v>36</v>
      </c>
      <c r="D29" s="6" t="s">
        <v>108</v>
      </c>
      <c r="E29" s="2">
        <v>20</v>
      </c>
      <c r="F29">
        <v>57</v>
      </c>
      <c r="G29" s="1">
        <v>55</v>
      </c>
      <c r="H29" s="1">
        <v>56</v>
      </c>
      <c r="I29" s="1">
        <v>53</v>
      </c>
      <c r="J29" s="63">
        <v>65</v>
      </c>
      <c r="K29" s="1">
        <v>60</v>
      </c>
      <c r="L29" s="1">
        <v>55</v>
      </c>
      <c r="M29" s="1">
        <v>56</v>
      </c>
      <c r="N29" s="1">
        <v>68</v>
      </c>
    </row>
    <row r="30" spans="2:21" ht="12.75">
      <c r="B30" s="5"/>
      <c r="C30" s="5"/>
      <c r="D30" s="5"/>
      <c r="E30" s="5"/>
      <c r="F30" s="9">
        <f>IF(F29&lt;&gt;"",ROUND($E$1*(F29-36),0),"")</f>
        <v>17</v>
      </c>
      <c r="G30" s="9">
        <f>IF(G29&lt;&gt;"",ROUND($E$1*(AVERAGE(F29:G29)-36),0),"")</f>
        <v>16</v>
      </c>
      <c r="H30" s="9">
        <f>IF(H29&lt;&gt;"",ROUND($E$1*(AVERAGE(F29:H29)-36),0),"")</f>
        <v>16</v>
      </c>
      <c r="I30" s="9">
        <f>IF(I29&lt;&gt;"",ROUND($E$1*(AVERAGE(F29:I29)-36),0),"")</f>
        <v>15</v>
      </c>
      <c r="J30" s="9">
        <f>IF(J29&lt;&gt;"",ROUND($E$1*(AVERAGE(F29:J29)-36),0),"")</f>
        <v>17</v>
      </c>
      <c r="K30" s="9">
        <f>IF(K29&lt;&gt;"",ROUND($E$1*(AVERAGE(G29:K29)-36),0),"")</f>
        <v>17</v>
      </c>
      <c r="L30" s="9">
        <f aca="true" t="shared" si="13" ref="L30:U30">IF(L29&lt;&gt;"",ROUND($E$1*(AVERAGE(H29:L29)-36),0),"")</f>
        <v>17</v>
      </c>
      <c r="M30" s="9">
        <f t="shared" si="13"/>
        <v>17</v>
      </c>
      <c r="N30" s="9">
        <f t="shared" si="13"/>
        <v>20</v>
      </c>
      <c r="O30" s="9">
        <f t="shared" si="13"/>
      </c>
      <c r="P30" s="9">
        <f t="shared" si="13"/>
      </c>
      <c r="Q30" s="9">
        <f t="shared" si="13"/>
      </c>
      <c r="R30" s="9">
        <f t="shared" si="13"/>
      </c>
      <c r="S30" s="9">
        <f t="shared" si="13"/>
      </c>
      <c r="T30" s="9">
        <f t="shared" si="13"/>
      </c>
      <c r="U30" s="9">
        <f t="shared" si="13"/>
      </c>
    </row>
    <row r="31" spans="2:16" ht="12.75">
      <c r="B31" s="5" t="s">
        <v>48</v>
      </c>
      <c r="C31" s="5" t="s">
        <v>40</v>
      </c>
      <c r="D31" s="6" t="s">
        <v>108</v>
      </c>
      <c r="E31" s="2">
        <v>4</v>
      </c>
      <c r="F31">
        <v>37</v>
      </c>
      <c r="G31" s="1">
        <v>36</v>
      </c>
      <c r="H31" s="1">
        <v>42</v>
      </c>
      <c r="I31" s="1">
        <v>39</v>
      </c>
      <c r="J31" s="185">
        <v>39</v>
      </c>
      <c r="K31" s="1">
        <v>39</v>
      </c>
      <c r="L31" s="1">
        <v>36</v>
      </c>
      <c r="M31">
        <v>39</v>
      </c>
      <c r="N31">
        <v>45</v>
      </c>
      <c r="O31">
        <v>44</v>
      </c>
      <c r="P31">
        <v>43</v>
      </c>
    </row>
    <row r="32" spans="2:21" ht="12.75">
      <c r="B32" s="5"/>
      <c r="C32" s="5"/>
      <c r="D32" s="5"/>
      <c r="E32" s="5"/>
      <c r="F32" s="9">
        <f>IF(F31&lt;&gt;"",ROUND($E$1*(F31-36),0),"")</f>
        <v>1</v>
      </c>
      <c r="G32" s="9">
        <f>IF(G31&lt;&gt;"",ROUND($E$1*(AVERAGE(F31:G31)-36),0),"")</f>
        <v>0</v>
      </c>
      <c r="H32" s="9">
        <f>IF(H31&lt;&gt;"",ROUND($E$1*(AVERAGE(F31:H31)-36),0),"")</f>
        <v>2</v>
      </c>
      <c r="I32" s="9">
        <f>IF(I31&lt;&gt;"",ROUND($E$1*(AVERAGE(F31:I31)-36),0),"")</f>
        <v>2</v>
      </c>
      <c r="J32" s="9">
        <f>IF(J31&lt;&gt;"",ROUND($E$1*(AVERAGE(F31:J31)-36),0),"")</f>
        <v>2</v>
      </c>
      <c r="K32" s="9">
        <f>IF(K31&lt;&gt;"",ROUND($E$1*(AVERAGE(G31:K31)-36),0),"")</f>
        <v>2</v>
      </c>
      <c r="L32" s="9">
        <f aca="true" t="shared" si="14" ref="L32:U32">IF(L31&lt;&gt;"",ROUND($E$1*(AVERAGE(H31:L31)-36),0),"")</f>
        <v>2</v>
      </c>
      <c r="M32" s="9">
        <f t="shared" si="14"/>
        <v>2</v>
      </c>
      <c r="N32" s="9">
        <f t="shared" si="14"/>
        <v>3</v>
      </c>
      <c r="O32" s="9">
        <f t="shared" si="14"/>
        <v>4</v>
      </c>
      <c r="P32" s="9">
        <f t="shared" si="14"/>
        <v>4</v>
      </c>
      <c r="Q32" s="9">
        <f t="shared" si="14"/>
      </c>
      <c r="R32" s="9">
        <f t="shared" si="14"/>
      </c>
      <c r="S32" s="9">
        <f t="shared" si="14"/>
      </c>
      <c r="T32" s="9">
        <f t="shared" si="14"/>
      </c>
      <c r="U32" s="9">
        <f t="shared" si="14"/>
      </c>
    </row>
    <row r="33" spans="2:16" ht="12.75">
      <c r="B33" s="5" t="s">
        <v>49</v>
      </c>
      <c r="C33" s="5" t="s">
        <v>55</v>
      </c>
      <c r="D33" s="6" t="s">
        <v>108</v>
      </c>
      <c r="E33" s="2">
        <v>6</v>
      </c>
      <c r="F33">
        <v>42</v>
      </c>
      <c r="G33" s="1">
        <v>42</v>
      </c>
      <c r="H33" s="1">
        <v>40</v>
      </c>
      <c r="I33" s="1">
        <v>38</v>
      </c>
      <c r="J33" s="185">
        <v>45</v>
      </c>
      <c r="K33" s="1">
        <v>47</v>
      </c>
      <c r="L33" s="1">
        <v>48</v>
      </c>
      <c r="M33">
        <v>44</v>
      </c>
      <c r="N33">
        <v>46</v>
      </c>
      <c r="O33">
        <v>41</v>
      </c>
      <c r="P33">
        <v>37</v>
      </c>
    </row>
    <row r="34" spans="2:21" ht="12.75">
      <c r="B34" s="5"/>
      <c r="C34" s="5"/>
      <c r="D34" s="5"/>
      <c r="E34" s="5"/>
      <c r="F34" s="9">
        <f>IF(F33&lt;&gt;"",ROUND($E$1*(F33-36),0),"")</f>
        <v>5</v>
      </c>
      <c r="G34" s="1">
        <f>IF(G33&lt;&gt;"",ROUND($E$1*(AVERAGE(F33:G33)-36),0),"")</f>
        <v>5</v>
      </c>
      <c r="H34" s="9">
        <f>IF(H33&lt;&gt;"",ROUND($E$1*(AVERAGE(F33:H33)-36),0),"")</f>
        <v>4</v>
      </c>
      <c r="I34" s="9">
        <f>IF(I33&lt;&gt;"",ROUND($E$1*(AVERAGE(F33:I33)-36),0),"")</f>
        <v>4</v>
      </c>
      <c r="J34" s="9">
        <f>IF(J33&lt;&gt;"",ROUND($E$1*(AVERAGE(F33:J33)-36),0),"")</f>
        <v>4</v>
      </c>
      <c r="K34" s="9">
        <f>IF(K33&lt;&gt;"",ROUND($E$1*(AVERAGE(G33:K33)-36),0),"")</f>
        <v>5</v>
      </c>
      <c r="L34" s="9">
        <f aca="true" t="shared" si="15" ref="L34:U34">IF(L33&lt;&gt;"",ROUND($E$1*(AVERAGE(H33:L33)-36),0),"")</f>
        <v>6</v>
      </c>
      <c r="M34" s="9">
        <f t="shared" si="15"/>
        <v>7</v>
      </c>
      <c r="N34" s="9">
        <f t="shared" si="15"/>
        <v>8</v>
      </c>
      <c r="O34" s="9">
        <f t="shared" si="15"/>
        <v>7</v>
      </c>
      <c r="P34" s="9">
        <f t="shared" si="15"/>
        <v>6</v>
      </c>
      <c r="Q34" s="9">
        <f t="shared" si="15"/>
      </c>
      <c r="R34" s="9">
        <f t="shared" si="15"/>
      </c>
      <c r="S34" s="9">
        <f t="shared" si="15"/>
      </c>
      <c r="T34" s="9">
        <f t="shared" si="15"/>
      </c>
      <c r="U34" s="9">
        <f t="shared" si="15"/>
      </c>
    </row>
    <row r="35" spans="2:16" ht="12.75">
      <c r="B35" s="5" t="s">
        <v>50</v>
      </c>
      <c r="C35" s="5" t="s">
        <v>120</v>
      </c>
      <c r="D35" s="6" t="s">
        <v>108</v>
      </c>
      <c r="E35" s="2">
        <v>2</v>
      </c>
      <c r="F35">
        <v>41</v>
      </c>
      <c r="G35" s="1">
        <v>44</v>
      </c>
      <c r="H35" s="1">
        <v>44</v>
      </c>
      <c r="I35" s="1">
        <v>42</v>
      </c>
      <c r="J35" s="185">
        <v>40</v>
      </c>
      <c r="K35" s="1">
        <v>40</v>
      </c>
      <c r="L35" s="1">
        <v>39</v>
      </c>
      <c r="M35">
        <v>38</v>
      </c>
      <c r="N35">
        <v>40</v>
      </c>
      <c r="O35">
        <v>38</v>
      </c>
      <c r="P35">
        <v>38</v>
      </c>
    </row>
    <row r="36" spans="2:21" ht="12.75">
      <c r="B36" s="5"/>
      <c r="C36" s="5"/>
      <c r="D36" s="5"/>
      <c r="E36" s="5"/>
      <c r="F36" s="9">
        <f>IF(F35&lt;&gt;"",ROUND($E$1*(F35-36),0),"")</f>
        <v>4</v>
      </c>
      <c r="G36" s="9">
        <f>IF(G35&lt;&gt;"",ROUND($E$1*(AVERAGE(F35:G35)-36),0),"")</f>
        <v>5</v>
      </c>
      <c r="H36" s="9">
        <f>IF(H35&lt;&gt;"",ROUND($E$1*(AVERAGE(F35:H35)-36),0),"")</f>
        <v>6</v>
      </c>
      <c r="I36" s="9">
        <f>IF(I35&lt;&gt;"",ROUND($E$1*(AVERAGE(F35:I35)-36),0),"")</f>
        <v>5</v>
      </c>
      <c r="J36" s="9">
        <f>IF(J35&lt;&gt;"",ROUND($E$1*(AVERAGE(F35:J35)-36),0),"")</f>
        <v>5</v>
      </c>
      <c r="K36" s="9">
        <f>IF(K35&lt;&gt;"",ROUND($E$1*(AVERAGE(G35:K35)-36),0),"")</f>
        <v>5</v>
      </c>
      <c r="L36" s="9">
        <f aca="true" t="shared" si="16" ref="L36:U36">IF(L35&lt;&gt;"",ROUND($E$1*(AVERAGE(H35:L35)-36),0),"")</f>
        <v>4</v>
      </c>
      <c r="M36" s="9">
        <f t="shared" si="16"/>
        <v>3</v>
      </c>
      <c r="N36" s="9">
        <f t="shared" si="16"/>
        <v>3</v>
      </c>
      <c r="O36" s="9">
        <f t="shared" si="16"/>
        <v>2</v>
      </c>
      <c r="P36" s="9">
        <f t="shared" si="16"/>
        <v>2</v>
      </c>
      <c r="Q36" s="9">
        <f t="shared" si="16"/>
      </c>
      <c r="R36" s="9">
        <f t="shared" si="16"/>
      </c>
      <c r="S36" s="9">
        <f t="shared" si="16"/>
      </c>
      <c r="T36" s="9">
        <f t="shared" si="16"/>
      </c>
      <c r="U36" s="9">
        <f t="shared" si="16"/>
      </c>
    </row>
    <row r="37" spans="2:16" ht="12.75">
      <c r="B37" s="5" t="s">
        <v>52</v>
      </c>
      <c r="C37" s="5" t="s">
        <v>8</v>
      </c>
      <c r="D37" s="6" t="s">
        <v>108</v>
      </c>
      <c r="E37" s="2">
        <v>10</v>
      </c>
      <c r="F37">
        <v>49</v>
      </c>
      <c r="G37" s="1">
        <v>62</v>
      </c>
      <c r="H37" s="1">
        <v>59</v>
      </c>
      <c r="I37" s="1">
        <v>47</v>
      </c>
      <c r="J37" s="185">
        <v>53</v>
      </c>
      <c r="K37" s="1">
        <v>56</v>
      </c>
      <c r="L37" s="1">
        <v>48</v>
      </c>
      <c r="M37">
        <v>44</v>
      </c>
      <c r="N37">
        <v>53</v>
      </c>
      <c r="O37">
        <v>51</v>
      </c>
      <c r="P37">
        <v>44</v>
      </c>
    </row>
    <row r="38" spans="2:21" ht="12.75">
      <c r="B38" s="5"/>
      <c r="C38" s="5"/>
      <c r="D38" s="5"/>
      <c r="E38" s="5"/>
      <c r="F38" s="9">
        <f>IF(F37&lt;&gt;"",ROUND($E$1*(F37-36),0),"")</f>
        <v>10</v>
      </c>
      <c r="G38" s="9">
        <f>IF(G37&lt;&gt;"",ROUND($E$1*(AVERAGE(F37:G37)-36),0),"")</f>
        <v>16</v>
      </c>
      <c r="H38" s="9">
        <f>IF(H37&lt;&gt;"",ROUND($E$1*(AVERAGE(F37:H37)-36),0),"")</f>
        <v>17</v>
      </c>
      <c r="I38" s="9">
        <f>IF(I37&lt;&gt;"",ROUND($E$1*(AVERAGE(F37:I37)-36),0),"")</f>
        <v>15</v>
      </c>
      <c r="J38" s="9">
        <f>IF(J37&lt;&gt;"",ROUND($E$1*(AVERAGE(F37:J37)-36),0),"")</f>
        <v>14</v>
      </c>
      <c r="K38" s="9">
        <f>IF(K37&lt;&gt;"",ROUND($E$1*(AVERAGE(G37:K37)-36),0),"")</f>
        <v>16</v>
      </c>
      <c r="L38" s="9">
        <f aca="true" t="shared" si="17" ref="L38:U38">IF(L37&lt;&gt;"",ROUND($E$1*(AVERAGE(H37:L37)-36),0),"")</f>
        <v>13</v>
      </c>
      <c r="M38" s="9">
        <f t="shared" si="17"/>
        <v>11</v>
      </c>
      <c r="N38" s="9">
        <f t="shared" si="17"/>
        <v>12</v>
      </c>
      <c r="O38" s="9">
        <f t="shared" si="17"/>
        <v>12</v>
      </c>
      <c r="P38" s="9">
        <f t="shared" si="17"/>
        <v>10</v>
      </c>
      <c r="Q38" s="9">
        <f t="shared" si="17"/>
      </c>
      <c r="R38" s="9">
        <f t="shared" si="17"/>
      </c>
      <c r="S38" s="9">
        <f t="shared" si="17"/>
      </c>
      <c r="T38" s="9">
        <f t="shared" si="17"/>
      </c>
      <c r="U38" s="9">
        <f t="shared" si="17"/>
      </c>
    </row>
    <row r="39" spans="2:12" ht="12.75">
      <c r="B39" s="5" t="s">
        <v>6</v>
      </c>
      <c r="C39" s="5" t="s">
        <v>161</v>
      </c>
      <c r="D39" s="6" t="s">
        <v>108</v>
      </c>
      <c r="E39" s="2">
        <v>8</v>
      </c>
      <c r="F39">
        <v>47</v>
      </c>
      <c r="G39" s="12">
        <v>47</v>
      </c>
      <c r="H39" s="12">
        <v>48</v>
      </c>
      <c r="I39" s="12">
        <v>41</v>
      </c>
      <c r="J39" s="186">
        <v>45</v>
      </c>
      <c r="K39" s="12">
        <v>46</v>
      </c>
      <c r="L39" s="12"/>
    </row>
    <row r="40" spans="2:21" ht="12.75">
      <c r="B40" s="5"/>
      <c r="C40" s="5"/>
      <c r="D40" s="5"/>
      <c r="E40" s="5"/>
      <c r="F40" s="9">
        <f>IF(F39&lt;&gt;"",ROUND($E$1*(F39-36),0),"")</f>
        <v>9</v>
      </c>
      <c r="G40" s="9">
        <f>IF(G39&lt;&gt;"",ROUND($E$1*(AVERAGE(F39:G39)-36),0),"")</f>
        <v>9</v>
      </c>
      <c r="H40" s="9">
        <f>IF(H39&lt;&gt;"",ROUND($E$1*(AVERAGE(F39:H39)-36),0),"")</f>
        <v>9</v>
      </c>
      <c r="I40" s="9">
        <f>IF(I39&lt;&gt;"",ROUND($E$1*(AVERAGE(F39:I39)-36),0),"")</f>
        <v>8</v>
      </c>
      <c r="J40" s="9">
        <f>IF(J39&lt;&gt;"",ROUND($E$1*(AVERAGE(F39:J39)-36),0),"")</f>
        <v>8</v>
      </c>
      <c r="K40" s="9">
        <f>IF(K39&lt;&gt;"",ROUND($E$1*(AVERAGE(G39:K39)-36),0),"")</f>
        <v>8</v>
      </c>
      <c r="L40" s="9">
        <f aca="true" t="shared" si="18" ref="L40:U40">IF(L39&lt;&gt;"",ROUND($E$1*(AVERAGE(H39:L39)-36),0),"")</f>
      </c>
      <c r="M40" s="9">
        <f t="shared" si="18"/>
      </c>
      <c r="N40" s="9">
        <f t="shared" si="18"/>
      </c>
      <c r="O40" s="9">
        <f t="shared" si="18"/>
      </c>
      <c r="P40" s="9">
        <f t="shared" si="18"/>
      </c>
      <c r="Q40" s="9">
        <f t="shared" si="18"/>
      </c>
      <c r="R40" s="9">
        <f t="shared" si="18"/>
      </c>
      <c r="S40" s="9">
        <f t="shared" si="18"/>
      </c>
      <c r="T40" s="9">
        <f t="shared" si="18"/>
      </c>
      <c r="U40" s="9">
        <f t="shared" si="18"/>
      </c>
    </row>
    <row r="41" spans="2:15" ht="12.75">
      <c r="B41" s="5" t="s">
        <v>7</v>
      </c>
      <c r="C41" s="5" t="s">
        <v>162</v>
      </c>
      <c r="D41" s="6" t="s">
        <v>108</v>
      </c>
      <c r="E41" s="2">
        <v>20</v>
      </c>
      <c r="F41">
        <v>51</v>
      </c>
      <c r="G41" s="12">
        <v>58</v>
      </c>
      <c r="H41" s="12">
        <v>60</v>
      </c>
      <c r="I41" s="12">
        <v>67</v>
      </c>
      <c r="J41" s="186">
        <v>60</v>
      </c>
      <c r="K41" s="12">
        <v>62</v>
      </c>
      <c r="L41" s="12">
        <v>61</v>
      </c>
      <c r="M41">
        <v>56</v>
      </c>
      <c r="N41">
        <v>62</v>
      </c>
      <c r="O41">
        <v>66</v>
      </c>
    </row>
    <row r="42" spans="2:21" ht="12.75">
      <c r="B42" s="4"/>
      <c r="C42" s="4"/>
      <c r="D42" s="4"/>
      <c r="E42" s="4"/>
      <c r="F42" s="9">
        <f>IF(F41&lt;&gt;"",ROUND($E$1*(F41-36),0),"")</f>
        <v>12</v>
      </c>
      <c r="G42" s="9">
        <f>IF(G41&lt;&gt;"",ROUND($E$1*(AVERAGE(F41:G41)-36),0),"")</f>
        <v>15</v>
      </c>
      <c r="H42" s="9">
        <f>IF(H41&lt;&gt;"",ROUND($E$1*(AVERAGE(F41:H41)-36),0),"")</f>
        <v>16</v>
      </c>
      <c r="I42" s="9">
        <f>IF(I41&lt;&gt;"",ROUND($E$1*(AVERAGE(F41:I41)-36),0),"")</f>
        <v>18</v>
      </c>
      <c r="J42" s="9">
        <f>IF(J41&lt;&gt;"",ROUND($E$1*(AVERAGE(F41:J41)-36),0),"")</f>
        <v>19</v>
      </c>
      <c r="K42" s="9">
        <f>IF(K41&lt;&gt;"",ROUND($E$1*(AVERAGE(G41:K41)-36),0),"")</f>
        <v>20</v>
      </c>
      <c r="L42" s="9">
        <f aca="true" t="shared" si="19" ref="L42:U42">IF(L41&lt;&gt;"",ROUND($E$1*(AVERAGE(H41:L41)-36),0),"")</f>
        <v>21</v>
      </c>
      <c r="M42" s="9">
        <f t="shared" si="19"/>
        <v>20</v>
      </c>
      <c r="N42" s="9">
        <f t="shared" si="19"/>
        <v>19</v>
      </c>
      <c r="O42" s="9">
        <f t="shared" si="19"/>
        <v>20</v>
      </c>
      <c r="P42" s="9">
        <f t="shared" si="19"/>
      </c>
      <c r="Q42" s="9">
        <f t="shared" si="19"/>
      </c>
      <c r="R42" s="9">
        <f t="shared" si="19"/>
      </c>
      <c r="S42" s="9">
        <f t="shared" si="19"/>
      </c>
      <c r="T42" s="9">
        <f t="shared" si="19"/>
      </c>
      <c r="U42" s="9">
        <f t="shared" si="19"/>
      </c>
    </row>
    <row r="43" spans="2:16" ht="12.75">
      <c r="B43" s="5" t="s">
        <v>53</v>
      </c>
      <c r="C43" s="5" t="s">
        <v>163</v>
      </c>
      <c r="D43" s="6" t="s">
        <v>108</v>
      </c>
      <c r="E43" s="2">
        <v>16</v>
      </c>
      <c r="F43">
        <v>62</v>
      </c>
      <c r="G43" s="1">
        <v>58</v>
      </c>
      <c r="H43" s="1">
        <v>61</v>
      </c>
      <c r="I43" s="1">
        <v>61</v>
      </c>
      <c r="J43" s="185">
        <v>57</v>
      </c>
      <c r="K43" s="1">
        <v>63</v>
      </c>
      <c r="L43" s="1">
        <v>59</v>
      </c>
      <c r="M43">
        <v>55</v>
      </c>
      <c r="N43">
        <v>63</v>
      </c>
      <c r="O43">
        <v>49</v>
      </c>
      <c r="P43">
        <v>54</v>
      </c>
    </row>
    <row r="44" spans="2:21" ht="12.75">
      <c r="B44" s="5"/>
      <c r="C44" s="5"/>
      <c r="D44" s="5"/>
      <c r="E44" s="2"/>
      <c r="F44" s="9">
        <f>IF(F43&lt;&gt;"",ROUND($E$1*(F43-36),0),"")</f>
        <v>21</v>
      </c>
      <c r="G44" s="9">
        <f>IF(G43&lt;&gt;"",ROUND($E$1*(AVERAGE(F43:G43)-36),0),"")</f>
        <v>19</v>
      </c>
      <c r="H44" s="9">
        <f>IF(H43&lt;&gt;"",ROUND($E$1*(AVERAGE(F43:H43)-36),0),"")</f>
        <v>19</v>
      </c>
      <c r="I44" s="9">
        <f>IF(I43&lt;&gt;"",ROUND($E$1*(AVERAGE(F43:I43)-36),0),"")</f>
        <v>20</v>
      </c>
      <c r="J44" s="9">
        <f>IF(J43&lt;&gt;"",ROUND($E$1*(AVERAGE(F43:J43)-36),0),"")</f>
        <v>19</v>
      </c>
      <c r="K44" s="9">
        <f>IF(K43&lt;&gt;"",ROUND($E$1*(AVERAGE(G43:K43)-36),0),"")</f>
        <v>19</v>
      </c>
      <c r="L44" s="9">
        <f aca="true" t="shared" si="20" ref="L44:U44">IF(L43&lt;&gt;"",ROUND($E$1*(AVERAGE(H43:L43)-36),0),"")</f>
        <v>19</v>
      </c>
      <c r="M44" s="9">
        <f t="shared" si="20"/>
        <v>18</v>
      </c>
      <c r="N44" s="9">
        <f t="shared" si="20"/>
        <v>19</v>
      </c>
      <c r="O44" s="9">
        <f t="shared" si="20"/>
        <v>17</v>
      </c>
      <c r="P44" s="9">
        <f t="shared" si="20"/>
        <v>16</v>
      </c>
      <c r="Q44" s="9">
        <f t="shared" si="20"/>
      </c>
      <c r="R44" s="9">
        <f t="shared" si="20"/>
      </c>
      <c r="S44" s="9">
        <f t="shared" si="20"/>
      </c>
      <c r="T44" s="9">
        <f t="shared" si="20"/>
      </c>
      <c r="U44" s="9">
        <f t="shared" si="20"/>
      </c>
    </row>
    <row r="45" spans="2:16" ht="12.75">
      <c r="B45" s="5" t="s">
        <v>54</v>
      </c>
      <c r="C45" s="5" t="s">
        <v>164</v>
      </c>
      <c r="D45" s="6" t="s">
        <v>108</v>
      </c>
      <c r="E45" s="2">
        <v>10</v>
      </c>
      <c r="F45">
        <v>45</v>
      </c>
      <c r="G45" s="1">
        <v>41</v>
      </c>
      <c r="H45" s="1">
        <v>47</v>
      </c>
      <c r="I45" s="1">
        <v>47</v>
      </c>
      <c r="J45" s="185">
        <v>48</v>
      </c>
      <c r="K45" s="1">
        <v>52</v>
      </c>
      <c r="L45" s="1">
        <v>44</v>
      </c>
      <c r="M45">
        <v>48</v>
      </c>
      <c r="N45">
        <v>50</v>
      </c>
      <c r="O45">
        <v>49</v>
      </c>
      <c r="P45">
        <v>51</v>
      </c>
    </row>
    <row r="46" spans="2:21" ht="12.75">
      <c r="B46" s="5"/>
      <c r="C46" s="5"/>
      <c r="D46" s="5"/>
      <c r="E46" s="2"/>
      <c r="F46" s="9">
        <f>IF(F45&lt;&gt;"",ROUND($E$1*(F45-36),0),"")</f>
        <v>7</v>
      </c>
      <c r="G46" s="9">
        <f>IF(G45&lt;&gt;"",ROUND($E$1*(AVERAGE(F45:G45)-36),0),"")</f>
        <v>6</v>
      </c>
      <c r="H46" s="9">
        <f>IF(H45&lt;&gt;"",ROUND($E$1*(AVERAGE(F45:H45)-36),0),"")</f>
        <v>7</v>
      </c>
      <c r="I46" s="9">
        <f>IF(I45&lt;&gt;"",ROUND($E$1*(AVERAGE(F45:I45)-36),0),"")</f>
        <v>7</v>
      </c>
      <c r="J46" s="9">
        <f>IF(J45&lt;&gt;"",ROUND($E$1*(AVERAGE(F45:J45)-36),0),"")</f>
        <v>8</v>
      </c>
      <c r="K46" s="9">
        <f>IF(K45&lt;&gt;"",ROUND($E$1*(AVERAGE(G45:K45)-36),0),"")</f>
        <v>9</v>
      </c>
      <c r="L46" s="9">
        <f aca="true" t="shared" si="21" ref="L46:U46">IF(L45&lt;&gt;"",ROUND($E$1*(AVERAGE(H45:L45)-36),0),"")</f>
        <v>9</v>
      </c>
      <c r="M46" s="9">
        <f t="shared" si="21"/>
        <v>9</v>
      </c>
      <c r="N46" s="9">
        <f t="shared" si="21"/>
        <v>10</v>
      </c>
      <c r="O46" s="9">
        <f t="shared" si="21"/>
        <v>10</v>
      </c>
      <c r="P46" s="9">
        <f t="shared" si="21"/>
        <v>10</v>
      </c>
      <c r="Q46" s="9">
        <f t="shared" si="21"/>
      </c>
      <c r="R46" s="9">
        <f t="shared" si="21"/>
      </c>
      <c r="S46" s="9">
        <f t="shared" si="21"/>
      </c>
      <c r="T46" s="9">
        <f t="shared" si="21"/>
      </c>
      <c r="U46" s="9">
        <f t="shared" si="21"/>
      </c>
    </row>
    <row r="47" spans="2:15" ht="12.75">
      <c r="B47" s="5" t="s">
        <v>56</v>
      </c>
      <c r="C47" s="5" t="s">
        <v>165</v>
      </c>
      <c r="D47" s="6" t="s">
        <v>108</v>
      </c>
      <c r="E47" s="2">
        <v>17</v>
      </c>
      <c r="F47">
        <v>51</v>
      </c>
      <c r="G47" s="1">
        <v>60</v>
      </c>
      <c r="H47" s="1">
        <v>49</v>
      </c>
      <c r="I47" s="1">
        <v>48</v>
      </c>
      <c r="J47" s="185">
        <v>54</v>
      </c>
      <c r="K47" s="1">
        <v>60</v>
      </c>
      <c r="L47" s="1">
        <v>57</v>
      </c>
      <c r="M47">
        <v>52</v>
      </c>
      <c r="N47">
        <v>59</v>
      </c>
      <c r="O47">
        <v>57</v>
      </c>
    </row>
    <row r="48" spans="2:21" ht="12.75">
      <c r="B48" s="5"/>
      <c r="C48" s="5"/>
      <c r="D48" s="5"/>
      <c r="E48" s="2"/>
      <c r="F48" s="9">
        <f>IF(F47&lt;&gt;"",ROUND($E$1*(F47-36),0),"")</f>
        <v>12</v>
      </c>
      <c r="G48" s="9">
        <f>IF(G47&lt;&gt;"",ROUND($E$1*(AVERAGE(F47:G47)-36),0),"")</f>
        <v>16</v>
      </c>
      <c r="H48" s="9">
        <f>IF(H47&lt;&gt;"",ROUND($E$1*(AVERAGE(F47:H47)-36),0),"")</f>
        <v>14</v>
      </c>
      <c r="I48" s="9">
        <f>IF(I47&lt;&gt;"",ROUND($E$1*(AVERAGE(F47:I47)-36),0),"")</f>
        <v>13</v>
      </c>
      <c r="J48" s="9">
        <f>IF(J47&lt;&gt;"",ROUND($E$1*(AVERAGE(F47:J47)-36),0),"")</f>
        <v>13</v>
      </c>
      <c r="K48" s="9">
        <f>IF(K47&lt;&gt;"",ROUND($E$1*(AVERAGE(G47:K47)-36),0),"")</f>
        <v>15</v>
      </c>
      <c r="L48" s="9">
        <f aca="true" t="shared" si="22" ref="L48:U48">IF(L47&lt;&gt;"",ROUND($E$1*(AVERAGE(H47:L47)-36),0),"")</f>
        <v>14</v>
      </c>
      <c r="M48" s="9">
        <f t="shared" si="22"/>
        <v>15</v>
      </c>
      <c r="N48" s="9">
        <f t="shared" si="22"/>
        <v>16</v>
      </c>
      <c r="O48" s="9">
        <f t="shared" si="22"/>
        <v>17</v>
      </c>
      <c r="P48" s="9">
        <f t="shared" si="22"/>
      </c>
      <c r="Q48" s="9">
        <f t="shared" si="22"/>
      </c>
      <c r="R48" s="9">
        <f t="shared" si="22"/>
      </c>
      <c r="S48" s="9">
        <f t="shared" si="22"/>
      </c>
      <c r="T48" s="9">
        <f t="shared" si="22"/>
      </c>
      <c r="U48" s="9">
        <f t="shared" si="22"/>
      </c>
    </row>
    <row r="49" spans="2:14" ht="12.75">
      <c r="B49" s="5" t="s">
        <v>57</v>
      </c>
      <c r="C49" s="5" t="s">
        <v>171</v>
      </c>
      <c r="D49" s="6" t="s">
        <v>108</v>
      </c>
      <c r="E49" s="2">
        <v>21</v>
      </c>
      <c r="F49">
        <v>36</v>
      </c>
      <c r="G49" s="1">
        <v>61</v>
      </c>
      <c r="H49" s="1">
        <v>55</v>
      </c>
      <c r="I49" s="1">
        <v>57</v>
      </c>
      <c r="J49" s="185">
        <v>59</v>
      </c>
      <c r="K49" s="1">
        <v>65</v>
      </c>
      <c r="L49" s="1">
        <v>62</v>
      </c>
      <c r="M49">
        <v>62</v>
      </c>
      <c r="N49">
        <v>64</v>
      </c>
    </row>
    <row r="50" spans="2:21" ht="12.75">
      <c r="B50" s="5"/>
      <c r="C50" s="5"/>
      <c r="D50" s="5"/>
      <c r="E50" s="2"/>
      <c r="F50" s="9">
        <f>IF(F49&lt;&gt;"",ROUND($E$1*(F49-36),0),"")</f>
        <v>0</v>
      </c>
      <c r="G50" s="9">
        <f>IF(G49&lt;&gt;"",ROUND($E$1*(AVERAGE(F49:G49)-36),0),"")</f>
        <v>10</v>
      </c>
      <c r="H50" s="9">
        <f>IF(H49&lt;&gt;"",ROUND($E$1*(AVERAGE(F49:H49)-36),0),"")</f>
        <v>12</v>
      </c>
      <c r="I50" s="9">
        <f>IF(I49&lt;&gt;"",ROUND($E$1*(AVERAGE(F49:I49)-36),0),"")</f>
        <v>13</v>
      </c>
      <c r="J50" s="9">
        <f>IF(J49&lt;&gt;"",ROUND($E$1*(AVERAGE(F49:J49)-36),0),"")</f>
        <v>14</v>
      </c>
      <c r="K50" s="9">
        <f>IF(K49&lt;&gt;"",ROUND($E$1*(AVERAGE(G49:K49)-36),0),"")</f>
        <v>19</v>
      </c>
      <c r="L50" s="9">
        <f aca="true" t="shared" si="23" ref="L50:U50">IF(L49&lt;&gt;"",ROUND($E$1*(AVERAGE(H49:L49)-36),0),"")</f>
        <v>19</v>
      </c>
      <c r="M50" s="9">
        <f t="shared" si="23"/>
        <v>20</v>
      </c>
      <c r="N50" s="9">
        <f t="shared" si="23"/>
        <v>21</v>
      </c>
      <c r="O50" s="9">
        <f t="shared" si="23"/>
      </c>
      <c r="P50" s="9">
        <f t="shared" si="23"/>
      </c>
      <c r="Q50" s="9">
        <f t="shared" si="23"/>
      </c>
      <c r="R50" s="9">
        <f t="shared" si="23"/>
      </c>
      <c r="S50" s="9">
        <f t="shared" si="23"/>
      </c>
      <c r="T50" s="9">
        <f t="shared" si="23"/>
      </c>
      <c r="U50" s="9">
        <f t="shared" si="23"/>
      </c>
    </row>
    <row r="51" spans="2:10" ht="12.75">
      <c r="B51" s="5" t="s">
        <v>81</v>
      </c>
      <c r="C51" s="5" t="s">
        <v>51</v>
      </c>
      <c r="D51" s="6" t="s">
        <v>108</v>
      </c>
      <c r="E51" s="2">
        <v>9</v>
      </c>
      <c r="F51">
        <v>47</v>
      </c>
      <c r="J51" s="185"/>
    </row>
    <row r="52" spans="3:21" ht="12.75">
      <c r="C52" s="5" t="s">
        <v>168</v>
      </c>
      <c r="F52" s="9">
        <f>IF(F51&lt;&gt;"",ROUND($E$1*(F51-36),0),"")</f>
        <v>9</v>
      </c>
      <c r="G52" s="9">
        <f>IF(G51&lt;&gt;"",ROUND($E$1*(AVERAGE(F51:G51)-36),0),"")</f>
      </c>
      <c r="H52" s="9">
        <f>IF(H51&lt;&gt;"",ROUND($E$1*(AVERAGE(F51:H51)-36),0),"")</f>
      </c>
      <c r="I52" s="9">
        <f>IF(I51&lt;&gt;"",ROUND($E$1*(AVERAGE(F51:I51)-36),0),"")</f>
      </c>
      <c r="J52" s="9">
        <f>IF(J51&lt;&gt;"",ROUND($E$1*(AVERAGE(F51:J51)-36),0),"")</f>
      </c>
      <c r="K52" s="9">
        <f>IF(K51&lt;&gt;"",ROUND($E$1*(AVERAGE(G51:K51)-36),0),"")</f>
      </c>
      <c r="L52" s="9">
        <f>IF(L51&lt;&gt;"",L51-36,"")</f>
      </c>
      <c r="M52" s="9"/>
      <c r="N52" s="9"/>
      <c r="O52" s="9"/>
      <c r="P52" s="9"/>
      <c r="Q52" s="9"/>
      <c r="R52" s="9"/>
      <c r="S52" s="9"/>
      <c r="T52" s="9"/>
      <c r="U52" s="9"/>
    </row>
    <row r="53" spans="2:10" ht="12.75">
      <c r="B53" s="5" t="s">
        <v>82</v>
      </c>
      <c r="C53" s="5" t="s">
        <v>181</v>
      </c>
      <c r="D53" s="6" t="s">
        <v>108</v>
      </c>
      <c r="E53" s="2">
        <v>6</v>
      </c>
      <c r="F53">
        <v>43</v>
      </c>
      <c r="J53" s="185"/>
    </row>
    <row r="54" spans="2:21" ht="12.75">
      <c r="B54" s="5"/>
      <c r="C54" s="5" t="s">
        <v>169</v>
      </c>
      <c r="D54" s="5"/>
      <c r="F54" s="9">
        <f>IF(F53&lt;&gt;"",ROUND($E$1*(F53-36),0),"")</f>
        <v>6</v>
      </c>
      <c r="G54" s="9">
        <f>IF(G53&lt;&gt;"",ROUND($E$1*(AVERAGE(F53:G53)-36),0),"")</f>
      </c>
      <c r="H54" s="9">
        <f>IF(H53&lt;&gt;"",ROUND($E$1*(AVERAGE(F53:H53)-36),0),"")</f>
      </c>
      <c r="I54" s="9">
        <f>IF(I53&lt;&gt;"",ROUND($E$1*(AVERAGE(F53:I53)-36),0),"")</f>
      </c>
      <c r="J54" s="9">
        <f>IF(J53&lt;&gt;"",ROUND($E$1*(AVERAGE(F53:J53)-36),0),"")</f>
      </c>
      <c r="K54" s="9">
        <f>IF(K53&lt;&gt;"",ROUND($E$1*(AVERAGE(G53:K53)-36),0),"")</f>
      </c>
      <c r="L54" s="9">
        <f>IF(L53&lt;&gt;"",L53-36,"")</f>
      </c>
      <c r="M54" s="9"/>
      <c r="N54" s="9"/>
      <c r="O54" s="9"/>
      <c r="P54" s="9"/>
      <c r="Q54" s="9"/>
      <c r="R54" s="9"/>
      <c r="S54" s="9"/>
      <c r="T54" s="9"/>
      <c r="U54" s="9"/>
    </row>
    <row r="55" spans="2:10" ht="12.75">
      <c r="B55" s="5" t="s">
        <v>83</v>
      </c>
      <c r="C55" s="5" t="s">
        <v>121</v>
      </c>
      <c r="D55" s="6" t="s">
        <v>108</v>
      </c>
      <c r="E55" s="2">
        <v>0</v>
      </c>
      <c r="J55" s="185"/>
    </row>
    <row r="56" spans="2:21" ht="12.75">
      <c r="B56" s="5"/>
      <c r="C56" s="5" t="s">
        <v>167</v>
      </c>
      <c r="D56" s="5"/>
      <c r="F56" s="9">
        <f>IF(F55&lt;&gt;"",ROUND($E$1*(F55-36),0),"")</f>
      </c>
      <c r="G56" s="9">
        <f>IF(G55&lt;&gt;"",ROUND($E$1*(AVERAGE(F55:G55)-36),0),"")</f>
      </c>
      <c r="H56" s="9">
        <f>IF(H55&lt;&gt;"",ROUND($E$1*(AVERAGE(F55:H55)-36),0),"")</f>
      </c>
      <c r="I56" s="9">
        <f>IF(I55&lt;&gt;"",ROUND($E$1*(AVERAGE(F55:I55)-36),0),"")</f>
      </c>
      <c r="J56" s="9">
        <f>IF(J55&lt;&gt;"",ROUND($E$1*(AVERAGE(F55:J55)-36),0),"")</f>
      </c>
      <c r="K56" s="9">
        <f>IF(K55&lt;&gt;"",ROUND($E$1*(AVERAGE(G55:K55)-36),0),"")</f>
      </c>
      <c r="L56" s="9">
        <f>IF(L55&lt;&gt;"",L55-36,"")</f>
      </c>
      <c r="M56" s="9"/>
      <c r="N56" s="9"/>
      <c r="O56" s="9"/>
      <c r="P56" s="9"/>
      <c r="Q56" s="9"/>
      <c r="R56" s="9"/>
      <c r="S56" s="9"/>
      <c r="T56" s="9"/>
      <c r="U56" s="9"/>
    </row>
    <row r="57" spans="2:10" ht="12.75">
      <c r="B57" s="5" t="s">
        <v>84</v>
      </c>
      <c r="C57" s="5" t="s">
        <v>122</v>
      </c>
      <c r="D57" s="6" t="s">
        <v>109</v>
      </c>
      <c r="E57" s="2">
        <v>0</v>
      </c>
      <c r="J57" s="185"/>
    </row>
    <row r="58" spans="2:21" ht="12.75">
      <c r="B58" s="74"/>
      <c r="C58" s="5" t="s">
        <v>166</v>
      </c>
      <c r="D58" s="6"/>
      <c r="F58" s="9">
        <f>IF(F57&lt;&gt;"",ROUND($E$1*(F57-36),0),"")</f>
      </c>
      <c r="G58" s="9">
        <f>IF(G57&lt;&gt;"",ROUND($E$1*(AVERAGE(F57:G57)-36),0),"")</f>
      </c>
      <c r="H58" s="9">
        <f>IF(H57&lt;&gt;"",ROUND($E$1*(AVERAGE(F57:H57)-36),0),"")</f>
      </c>
      <c r="I58" s="9">
        <f>IF(I57&lt;&gt;"",ROUND($E$1*(AVERAGE(F57:I57)-36),0),"")</f>
      </c>
      <c r="J58" s="9">
        <f>IF(J57&lt;&gt;"",ROUND($E$1*(AVERAGE(F57:J57)-36),0),"")</f>
      </c>
      <c r="K58" s="9">
        <f>IF(K57&lt;&gt;"",ROUND($E$1*(AVERAGE(G57:K57)-36),0),"")</f>
      </c>
      <c r="L58" s="9">
        <f>IF(L57&lt;&gt;"",L57-36,"")</f>
      </c>
      <c r="M58" s="9"/>
      <c r="N58" s="9"/>
      <c r="O58" s="9"/>
      <c r="P58" s="9"/>
      <c r="Q58" s="9"/>
      <c r="R58" s="9"/>
      <c r="S58" s="9"/>
      <c r="T58" s="9"/>
      <c r="U58" s="9"/>
    </row>
    <row r="59" spans="2:21" ht="12.75">
      <c r="B59" s="74" t="s">
        <v>178</v>
      </c>
      <c r="C59" s="5" t="s">
        <v>261</v>
      </c>
      <c r="D59" s="6" t="s">
        <v>109</v>
      </c>
      <c r="E59" s="2">
        <v>20</v>
      </c>
      <c r="F59" s="1">
        <v>59</v>
      </c>
      <c r="G59" s="1">
        <v>62</v>
      </c>
      <c r="H59" s="9"/>
      <c r="I59" s="9"/>
      <c r="J59" s="185"/>
      <c r="K59" s="9"/>
      <c r="L59" s="9"/>
      <c r="M59" s="9"/>
      <c r="N59" s="9"/>
      <c r="O59" s="9"/>
      <c r="P59" s="9"/>
      <c r="Q59" s="9"/>
      <c r="R59" s="9"/>
      <c r="S59" s="9"/>
      <c r="T59" s="9"/>
      <c r="U59" s="9"/>
    </row>
    <row r="60" spans="2:21" ht="12.75">
      <c r="B60" s="74"/>
      <c r="C60" s="5"/>
      <c r="D60" s="6"/>
      <c r="F60" s="9">
        <f>IF(F59&lt;&gt;"",ROUND($E$1*(F59-36),0),"")</f>
        <v>18</v>
      </c>
      <c r="G60" s="9">
        <f>IF(G59&lt;&gt;"",ROUND($E$1*(AVERAGE(F59:G59)-36),0),"")</f>
        <v>20</v>
      </c>
      <c r="H60" s="9">
        <f>IF(H59&lt;&gt;"",ROUND($E$1*(AVERAGE(F59:H59)-36),0),"")</f>
      </c>
      <c r="I60" s="9">
        <f>IF(I59&lt;&gt;"",ROUND($E$1*(AVERAGE(F59:I59)-36),0),"")</f>
      </c>
      <c r="J60" s="9">
        <f>IF(J59&lt;&gt;"",ROUND($E$1*(AVERAGE(F59:J59)-36),0),"")</f>
      </c>
      <c r="K60" s="1">
        <f>IF(K59&lt;&gt;"",ROUND($E$1*(AVERAGE(G59:K59)-36),0),"")</f>
      </c>
      <c r="L60" s="9"/>
      <c r="M60" s="9"/>
      <c r="N60" s="9"/>
      <c r="O60" s="9"/>
      <c r="P60" s="9"/>
      <c r="Q60" s="9"/>
      <c r="R60" s="9"/>
      <c r="S60" s="9"/>
      <c r="T60" s="9"/>
      <c r="U60" s="9"/>
    </row>
    <row r="61" spans="2:21" ht="12.75">
      <c r="B61" s="74" t="s">
        <v>179</v>
      </c>
      <c r="C61" s="5" t="s">
        <v>180</v>
      </c>
      <c r="D61" s="6" t="s">
        <v>108</v>
      </c>
      <c r="E61" s="2">
        <v>3</v>
      </c>
      <c r="F61" s="1">
        <v>40</v>
      </c>
      <c r="G61" s="1"/>
      <c r="H61" s="1"/>
      <c r="I61" s="1"/>
      <c r="J61" s="185"/>
      <c r="K61" s="1"/>
      <c r="L61" s="1"/>
      <c r="M61" s="1"/>
      <c r="N61" s="1"/>
      <c r="O61" s="1"/>
      <c r="P61" s="1"/>
      <c r="Q61" s="1"/>
      <c r="R61" s="1"/>
      <c r="S61" s="1"/>
      <c r="T61" s="1"/>
      <c r="U61" s="9"/>
    </row>
    <row r="62" spans="2:21" ht="12.75">
      <c r="B62" s="74"/>
      <c r="C62" s="5"/>
      <c r="D62" s="6"/>
      <c r="F62" s="9">
        <f>IF(F61&lt;&gt;"",ROUND($E$1*(F61-36),0),"")</f>
        <v>3</v>
      </c>
      <c r="G62" s="9">
        <f>IF(G61&lt;&gt;"",ROUND($E$1*(AVERAGE(F61:G61)-36),0),"")</f>
      </c>
      <c r="H62" s="9">
        <f>IF(H61&lt;&gt;"",ROUND($E$1*(AVERAGE(F61:H61)-36),0),"")</f>
      </c>
      <c r="I62" s="9">
        <f>IF(I61&lt;&gt;"",ROUND($E$1*(AVERAGE(F61:I61)-36),0),"")</f>
      </c>
      <c r="J62" s="9">
        <f>IF(J61&lt;&gt;"",ROUND($E$1*(AVERAGE(F61:J61)-36),0),"")</f>
      </c>
      <c r="K62" s="1">
        <f>IF(K61&lt;&gt;"",ROUND($E$1*(AVERAGE(G61:K61)-36),0),"")</f>
      </c>
      <c r="L62" s="9"/>
      <c r="M62" s="9"/>
      <c r="N62" s="9"/>
      <c r="O62" s="9"/>
      <c r="P62" s="9"/>
      <c r="Q62" s="9"/>
      <c r="R62" s="9"/>
      <c r="S62" s="9"/>
      <c r="T62" s="9"/>
      <c r="U62" s="9"/>
    </row>
    <row r="63" spans="2:21" ht="12.75">
      <c r="B63" s="74" t="s">
        <v>268</v>
      </c>
      <c r="C63" s="5" t="s">
        <v>269</v>
      </c>
      <c r="D63" s="6" t="s">
        <v>108</v>
      </c>
      <c r="E63" s="2">
        <v>11</v>
      </c>
      <c r="F63">
        <v>47</v>
      </c>
      <c r="G63">
        <v>52</v>
      </c>
      <c r="J63" s="185"/>
      <c r="K63" s="1"/>
      <c r="L63" s="9"/>
      <c r="M63" s="9"/>
      <c r="N63" s="9"/>
      <c r="O63" s="9"/>
      <c r="P63" s="9"/>
      <c r="Q63" s="9"/>
      <c r="R63" s="9"/>
      <c r="S63" s="9"/>
      <c r="T63" s="9"/>
      <c r="U63" s="9"/>
    </row>
    <row r="64" spans="2:21" ht="12.75">
      <c r="B64" s="74"/>
      <c r="C64" s="5"/>
      <c r="D64" s="6"/>
      <c r="F64" s="9"/>
      <c r="G64" s="9"/>
      <c r="H64" s="9"/>
      <c r="I64" s="9"/>
      <c r="J64" s="9"/>
      <c r="K64" s="1"/>
      <c r="L64" s="9"/>
      <c r="M64" s="9"/>
      <c r="N64" s="9"/>
      <c r="O64" s="9"/>
      <c r="P64" s="9"/>
      <c r="Q64" s="9"/>
      <c r="R64" s="9"/>
      <c r="S64" s="9"/>
      <c r="T64" s="9"/>
      <c r="U64" s="9"/>
    </row>
    <row r="65" spans="2:41" ht="12.75">
      <c r="B65" s="2" t="s">
        <v>91</v>
      </c>
      <c r="C65" s="5" t="s">
        <v>91</v>
      </c>
      <c r="D65" s="6" t="s">
        <v>108</v>
      </c>
      <c r="E65" s="2">
        <v>0</v>
      </c>
      <c r="F65" s="9">
        <v>0</v>
      </c>
      <c r="G65" s="9">
        <v>0</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row>
    <row r="66" spans="6:41" ht="12.75">
      <c r="F66" s="9">
        <v>0</v>
      </c>
      <c r="G66" s="9">
        <v>0</v>
      </c>
      <c r="H66" s="9">
        <v>0</v>
      </c>
      <c r="I66" s="9">
        <v>0</v>
      </c>
      <c r="J66" s="9">
        <v>0</v>
      </c>
      <c r="K66" s="9">
        <v>0</v>
      </c>
      <c r="L66" s="9">
        <v>0</v>
      </c>
      <c r="M66" s="9">
        <v>0</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c r="AF66" s="9"/>
      <c r="AG66" s="9"/>
      <c r="AH66" s="9"/>
      <c r="AI66" s="9"/>
      <c r="AJ66" s="9"/>
      <c r="AK66" s="9"/>
      <c r="AL66" s="9"/>
      <c r="AM66" s="9"/>
      <c r="AN66" s="9"/>
      <c r="AO66" s="9"/>
    </row>
    <row r="67" spans="2:41" ht="12.75">
      <c r="B67" s="2" t="s">
        <v>92</v>
      </c>
      <c r="C67" s="2" t="s">
        <v>93</v>
      </c>
      <c r="D67" s="85" t="s">
        <v>107</v>
      </c>
      <c r="E67" s="2">
        <v>0</v>
      </c>
      <c r="F67" s="9">
        <v>0</v>
      </c>
      <c r="G67" s="9">
        <v>0</v>
      </c>
      <c r="H67" s="9">
        <v>0</v>
      </c>
      <c r="I67" s="9">
        <v>0</v>
      </c>
      <c r="J67" s="9">
        <v>0</v>
      </c>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row>
    <row r="68" spans="6:41" ht="12.75">
      <c r="F68" s="9">
        <v>0</v>
      </c>
      <c r="G68" s="9">
        <v>0</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v>0</v>
      </c>
      <c r="AH68" s="9">
        <v>0</v>
      </c>
      <c r="AI68" s="9">
        <v>0</v>
      </c>
      <c r="AJ68" s="9">
        <v>0</v>
      </c>
      <c r="AK68" s="9">
        <v>0</v>
      </c>
      <c r="AL68" s="9"/>
      <c r="AM68" s="9"/>
      <c r="AN68" s="9"/>
      <c r="AO68" s="9"/>
    </row>
    <row r="74" spans="8:9" ht="12.75">
      <c r="H74" s="146"/>
      <c r="I74" s="146"/>
    </row>
    <row r="79" spans="3:5" ht="12.75">
      <c r="C79" s="146"/>
      <c r="D79" s="146"/>
      <c r="E79" s="146"/>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9"/>
  <dimension ref="A1:V83"/>
  <sheetViews>
    <sheetView showGridLines="0" showRowColHeaders="0" workbookViewId="0" topLeftCell="A45">
      <selection activeCell="B69" sqref="B69"/>
    </sheetView>
  </sheetViews>
  <sheetFormatPr defaultColWidth="9.140625" defaultRowHeight="12.75"/>
  <cols>
    <col min="2" max="2" width="13.00390625" style="0" customWidth="1"/>
    <col min="3" max="21" width="10.00390625" style="0" customWidth="1"/>
    <col min="22" max="22" width="9.7109375" style="0" customWidth="1"/>
  </cols>
  <sheetData>
    <row r="1" spans="13:19" ht="12.75">
      <c r="M1" s="199"/>
      <c r="N1" s="10"/>
      <c r="O1" s="10"/>
      <c r="P1" s="10"/>
      <c r="Q1" s="10"/>
      <c r="R1" s="10"/>
      <c r="S1" s="10"/>
    </row>
    <row r="2" ht="13.5" thickBot="1"/>
    <row r="3" spans="2:12" ht="12.75">
      <c r="B3" s="234" t="s">
        <v>234</v>
      </c>
      <c r="C3" s="235"/>
      <c r="D3" s="235"/>
      <c r="E3" s="235"/>
      <c r="F3" s="235"/>
      <c r="G3" s="235"/>
      <c r="H3" s="235"/>
      <c r="I3" s="235"/>
      <c r="J3" s="236"/>
      <c r="L3" s="178"/>
    </row>
    <row r="4" spans="2:20" ht="12.75">
      <c r="B4" s="187" t="s">
        <v>64</v>
      </c>
      <c r="C4" s="184" t="s">
        <v>18</v>
      </c>
      <c r="D4" s="184" t="s">
        <v>19</v>
      </c>
      <c r="E4" s="184" t="s">
        <v>20</v>
      </c>
      <c r="F4" s="184" t="s">
        <v>21</v>
      </c>
      <c r="G4" s="184" t="s">
        <v>22</v>
      </c>
      <c r="H4" s="184" t="s">
        <v>23</v>
      </c>
      <c r="I4" s="184" t="s">
        <v>24</v>
      </c>
      <c r="J4" s="188" t="s">
        <v>235</v>
      </c>
      <c r="L4" s="178"/>
      <c r="T4" s="10"/>
    </row>
    <row r="5" spans="2:12" ht="12.75">
      <c r="B5" s="189" t="s">
        <v>65</v>
      </c>
      <c r="C5" s="143">
        <v>38889</v>
      </c>
      <c r="D5" s="143">
        <v>38896</v>
      </c>
      <c r="E5" s="143">
        <v>38903</v>
      </c>
      <c r="F5" s="143">
        <v>38910</v>
      </c>
      <c r="G5" s="143">
        <v>38917</v>
      </c>
      <c r="H5" s="143">
        <v>38924</v>
      </c>
      <c r="I5" s="143">
        <v>38931</v>
      </c>
      <c r="J5" s="190">
        <v>38938</v>
      </c>
      <c r="K5" s="178"/>
      <c r="L5" s="178"/>
    </row>
    <row r="6" spans="2:12" ht="12.75">
      <c r="B6" s="191" t="s">
        <v>66</v>
      </c>
      <c r="C6" s="25" t="s">
        <v>59</v>
      </c>
      <c r="D6" s="25" t="s">
        <v>60</v>
      </c>
      <c r="E6" s="25" t="s">
        <v>59</v>
      </c>
      <c r="F6" s="25" t="s">
        <v>60</v>
      </c>
      <c r="G6" s="25" t="s">
        <v>59</v>
      </c>
      <c r="H6" s="25" t="s">
        <v>60</v>
      </c>
      <c r="I6" s="25" t="s">
        <v>59</v>
      </c>
      <c r="J6" s="188"/>
      <c r="K6" s="183"/>
      <c r="L6" s="178"/>
    </row>
    <row r="7" spans="2:12" ht="12.75">
      <c r="B7" s="189" t="s">
        <v>117</v>
      </c>
      <c r="C7" s="182"/>
      <c r="D7" s="182"/>
      <c r="E7" s="182"/>
      <c r="F7" s="182"/>
      <c r="G7" s="182"/>
      <c r="H7" s="182"/>
      <c r="I7" s="182"/>
      <c r="J7" s="192"/>
      <c r="K7" s="183"/>
      <c r="L7" s="178"/>
    </row>
    <row r="8" spans="2:12" ht="12.75">
      <c r="B8" s="193">
        <v>0.1875</v>
      </c>
      <c r="C8" s="179" t="s">
        <v>243</v>
      </c>
      <c r="D8" s="3" t="s">
        <v>225</v>
      </c>
      <c r="E8" s="3" t="s">
        <v>246</v>
      </c>
      <c r="F8" s="3" t="s">
        <v>252</v>
      </c>
      <c r="G8" s="3" t="s">
        <v>124</v>
      </c>
      <c r="H8" s="3" t="s">
        <v>130</v>
      </c>
      <c r="I8" s="180" t="s">
        <v>140</v>
      </c>
      <c r="J8" s="194" t="s">
        <v>217</v>
      </c>
      <c r="K8" s="183"/>
      <c r="L8" s="178"/>
    </row>
    <row r="9" spans="2:18" ht="12.75">
      <c r="B9" s="195">
        <v>0.19305555555555554</v>
      </c>
      <c r="C9" s="3" t="s">
        <v>222</v>
      </c>
      <c r="D9" s="181" t="s">
        <v>226</v>
      </c>
      <c r="E9" s="3" t="s">
        <v>247</v>
      </c>
      <c r="F9" s="3" t="s">
        <v>229</v>
      </c>
      <c r="G9" s="3" t="s">
        <v>125</v>
      </c>
      <c r="H9" s="3" t="s">
        <v>131</v>
      </c>
      <c r="I9" s="180" t="s">
        <v>141</v>
      </c>
      <c r="J9" s="194" t="s">
        <v>218</v>
      </c>
      <c r="K9" s="183"/>
      <c r="M9" s="142"/>
      <c r="R9" s="141"/>
    </row>
    <row r="10" spans="2:18" ht="12.75">
      <c r="B10" s="195">
        <v>0.198611111111111</v>
      </c>
      <c r="C10" s="3" t="s">
        <v>244</v>
      </c>
      <c r="D10" s="181" t="s">
        <v>227</v>
      </c>
      <c r="E10" s="3" t="s">
        <v>248</v>
      </c>
      <c r="F10" s="3" t="s">
        <v>230</v>
      </c>
      <c r="G10" s="3" t="s">
        <v>126</v>
      </c>
      <c r="H10" s="3" t="s">
        <v>260</v>
      </c>
      <c r="I10" s="180" t="s">
        <v>242</v>
      </c>
      <c r="J10" s="194" t="s">
        <v>219</v>
      </c>
      <c r="K10" s="183"/>
      <c r="M10" s="142"/>
      <c r="R10" s="141"/>
    </row>
    <row r="11" spans="2:18" ht="12.75">
      <c r="B11" s="195">
        <v>0.204166666666667</v>
      </c>
      <c r="C11" s="3" t="s">
        <v>223</v>
      </c>
      <c r="D11" s="181" t="s">
        <v>245</v>
      </c>
      <c r="E11" s="3" t="s">
        <v>249</v>
      </c>
      <c r="F11" s="3" t="s">
        <v>231</v>
      </c>
      <c r="G11" s="3" t="s">
        <v>127</v>
      </c>
      <c r="H11" s="3" t="s">
        <v>133</v>
      </c>
      <c r="I11" s="180" t="s">
        <v>28</v>
      </c>
      <c r="J11" s="194" t="s">
        <v>220</v>
      </c>
      <c r="L11" s="50" t="str">
        <f>'SCORE ENTRY WORKSHEET'!$C$15</f>
        <v>Team 06</v>
      </c>
      <c r="M11" s="142"/>
      <c r="R11" s="141"/>
    </row>
    <row r="12" spans="2:18" ht="12.75">
      <c r="B12" s="195">
        <v>0.209722222222222</v>
      </c>
      <c r="C12" s="3" t="s">
        <v>224</v>
      </c>
      <c r="D12" s="181" t="s">
        <v>228</v>
      </c>
      <c r="E12" s="3" t="s">
        <v>250</v>
      </c>
      <c r="F12" s="3" t="s">
        <v>232</v>
      </c>
      <c r="G12" s="3" t="s">
        <v>128</v>
      </c>
      <c r="H12" s="3" t="s">
        <v>241</v>
      </c>
      <c r="I12" s="180" t="s">
        <v>142</v>
      </c>
      <c r="J12" s="194" t="s">
        <v>238</v>
      </c>
      <c r="L12" s="104">
        <f>'SCORE ENTRY WORKSHEET'!$M$15</f>
        <v>0</v>
      </c>
      <c r="M12" s="142"/>
      <c r="R12" s="141"/>
    </row>
    <row r="13" spans="2:12" ht="12.75">
      <c r="B13" s="195">
        <v>0.215277777777778</v>
      </c>
      <c r="C13" s="3" t="s">
        <v>240</v>
      </c>
      <c r="D13" s="181" t="s">
        <v>259</v>
      </c>
      <c r="E13" s="3" t="s">
        <v>251</v>
      </c>
      <c r="F13" s="3" t="s">
        <v>233</v>
      </c>
      <c r="G13" s="3" t="s">
        <v>129</v>
      </c>
      <c r="H13" s="3" t="s">
        <v>123</v>
      </c>
      <c r="I13" s="180" t="s">
        <v>143</v>
      </c>
      <c r="J13" s="194" t="s">
        <v>221</v>
      </c>
      <c r="L13" s="50" t="str">
        <f>'SCORE ENTRY WORKSHEET'!$C$16</f>
        <v>Team 12</v>
      </c>
    </row>
    <row r="14" spans="2:12" ht="13.5" thickBot="1">
      <c r="B14" s="196" t="s">
        <v>236</v>
      </c>
      <c r="C14" s="197">
        <v>6</v>
      </c>
      <c r="D14" s="197">
        <v>14</v>
      </c>
      <c r="E14" s="197">
        <v>8</v>
      </c>
      <c r="F14" s="197">
        <v>16</v>
      </c>
      <c r="G14" s="197">
        <v>6</v>
      </c>
      <c r="H14" s="197">
        <v>14</v>
      </c>
      <c r="I14" s="197">
        <v>8</v>
      </c>
      <c r="J14" s="198"/>
      <c r="L14" s="104">
        <f>'SCORE ENTRY WORKSHEET'!$M$16</f>
        <v>0</v>
      </c>
    </row>
    <row r="15" spans="2:12" ht="12.75">
      <c r="B15" s="21"/>
      <c r="C15" s="13"/>
      <c r="D15" s="13"/>
      <c r="E15" s="13"/>
      <c r="F15" s="13"/>
      <c r="G15" s="13"/>
      <c r="H15" s="13"/>
      <c r="I15" s="13"/>
      <c r="L15" s="105" t="str">
        <f>IF(L12=L14,L11&amp;" and "&amp;L13&amp;" tie, "&amp;TEXT(L12,"0.0")&amp;" - "&amp;TEXT(L14,"0.0"),IF(L12&gt;L14,L11&amp;" def. "&amp;L13&amp;", "&amp;TEXT(L12,"0.0")&amp;" - "&amp;TEXT(L14,"0.0"),IF(L14&gt;L12,L13&amp;" def. "&amp;L11&amp;", "&amp;TEXT(L14,"0.0")&amp;" - "&amp;TEXT(L12,"0.0"))))</f>
        <v>Team 06 and Team 12 tie, 0.0 - 0.0</v>
      </c>
    </row>
    <row r="16" spans="2:11" ht="12.75">
      <c r="B16" s="11"/>
      <c r="K16" s="63"/>
    </row>
    <row r="17" spans="1:9" ht="12.75">
      <c r="A17" s="9"/>
      <c r="B17" s="11"/>
      <c r="C17" s="45"/>
      <c r="D17" s="44"/>
      <c r="E17" s="44"/>
      <c r="F17" s="44"/>
      <c r="G17" s="44"/>
      <c r="H17" s="44"/>
      <c r="I17" s="44"/>
    </row>
    <row r="18" spans="2:22" ht="12.75">
      <c r="B18" s="238" t="s">
        <v>90</v>
      </c>
      <c r="C18" s="239"/>
      <c r="D18" s="239"/>
      <c r="E18" s="239"/>
      <c r="F18" s="239"/>
      <c r="G18" s="239"/>
      <c r="H18" s="239"/>
      <c r="I18" s="239"/>
      <c r="J18" s="239"/>
      <c r="K18" s="239"/>
      <c r="L18" s="239"/>
      <c r="M18" s="239"/>
      <c r="N18" s="239"/>
      <c r="O18" s="239"/>
      <c r="P18" s="239"/>
      <c r="Q18" s="239"/>
      <c r="R18" s="239"/>
      <c r="S18" s="239"/>
      <c r="T18" s="239"/>
      <c r="U18" s="239"/>
      <c r="V18" s="240"/>
    </row>
    <row r="19" spans="2:22" ht="12.75">
      <c r="B19" s="103" t="s">
        <v>18</v>
      </c>
      <c r="C19" s="107"/>
      <c r="D19" s="108"/>
      <c r="E19" s="103" t="s">
        <v>19</v>
      </c>
      <c r="F19" s="107"/>
      <c r="G19" s="108"/>
      <c r="H19" s="103" t="s">
        <v>20</v>
      </c>
      <c r="I19" s="107"/>
      <c r="J19" s="108"/>
      <c r="K19" s="103" t="s">
        <v>21</v>
      </c>
      <c r="L19" s="107"/>
      <c r="M19" s="108"/>
      <c r="N19" s="103" t="s">
        <v>22</v>
      </c>
      <c r="O19" s="107"/>
      <c r="P19" s="108"/>
      <c r="Q19" s="103" t="s">
        <v>23</v>
      </c>
      <c r="R19" s="107"/>
      <c r="S19" s="108"/>
      <c r="T19" s="103" t="s">
        <v>24</v>
      </c>
      <c r="U19" s="107"/>
      <c r="V19" s="108"/>
    </row>
    <row r="20" spans="2:20" ht="12.75">
      <c r="B20" s="9">
        <v>1</v>
      </c>
      <c r="C20" s="46"/>
      <c r="D20" s="46"/>
      <c r="E20" s="50">
        <v>1</v>
      </c>
      <c r="F20" s="46"/>
      <c r="G20" s="46"/>
      <c r="H20" s="50">
        <v>1</v>
      </c>
      <c r="I20" s="46"/>
      <c r="J20" s="46"/>
      <c r="K20" s="50">
        <v>1</v>
      </c>
      <c r="N20" s="9">
        <v>1</v>
      </c>
      <c r="Q20" s="9">
        <v>1</v>
      </c>
      <c r="T20" s="9">
        <v>1</v>
      </c>
    </row>
    <row r="21" spans="2:22" ht="12.75">
      <c r="B21" s="94" t="s">
        <v>253</v>
      </c>
      <c r="C21" s="87"/>
      <c r="D21" s="88"/>
      <c r="E21" s="89" t="s">
        <v>262</v>
      </c>
      <c r="F21" s="87"/>
      <c r="G21" s="88"/>
      <c r="H21" s="89" t="s">
        <v>270</v>
      </c>
      <c r="I21" s="87"/>
      <c r="J21" s="90"/>
      <c r="K21" s="86"/>
      <c r="L21" s="92"/>
      <c r="M21" s="93"/>
      <c r="N21" s="94" t="s">
        <v>276</v>
      </c>
      <c r="O21" s="92"/>
      <c r="P21" s="93"/>
      <c r="Q21" s="94" t="s">
        <v>282</v>
      </c>
      <c r="R21" s="92"/>
      <c r="S21" s="93"/>
      <c r="T21" s="94" t="s">
        <v>288</v>
      </c>
      <c r="U21" s="92"/>
      <c r="V21" s="93"/>
    </row>
    <row r="22" spans="2:22" ht="12.75">
      <c r="B22" s="86" t="s">
        <v>254</v>
      </c>
      <c r="C22" s="87"/>
      <c r="D22" s="88"/>
      <c r="E22" s="86" t="s">
        <v>263</v>
      </c>
      <c r="F22" s="87"/>
      <c r="G22" s="88"/>
      <c r="H22" s="86" t="s">
        <v>271</v>
      </c>
      <c r="I22" s="87"/>
      <c r="J22" s="88"/>
      <c r="K22" s="86"/>
      <c r="L22" s="87"/>
      <c r="M22" s="88"/>
      <c r="N22" s="86" t="s">
        <v>277</v>
      </c>
      <c r="O22" s="87"/>
      <c r="P22" s="88"/>
      <c r="Q22" s="86" t="s">
        <v>283</v>
      </c>
      <c r="R22" s="87"/>
      <c r="S22" s="88"/>
      <c r="T22" s="86" t="s">
        <v>182</v>
      </c>
      <c r="U22" s="87"/>
      <c r="V22" s="88"/>
    </row>
    <row r="23" spans="2:22" ht="12.75">
      <c r="B23" s="86" t="s">
        <v>255</v>
      </c>
      <c r="C23" s="87"/>
      <c r="D23" s="88"/>
      <c r="E23" s="86" t="s">
        <v>264</v>
      </c>
      <c r="F23" s="87"/>
      <c r="G23" s="88"/>
      <c r="H23" s="86" t="s">
        <v>272</v>
      </c>
      <c r="I23" s="87"/>
      <c r="J23" s="88"/>
      <c r="K23" s="86"/>
      <c r="L23" s="87"/>
      <c r="M23" s="88"/>
      <c r="N23" s="86" t="s">
        <v>278</v>
      </c>
      <c r="O23" s="87"/>
      <c r="P23" s="88"/>
      <c r="Q23" s="86" t="s">
        <v>284</v>
      </c>
      <c r="R23" s="87"/>
      <c r="S23" s="88"/>
      <c r="T23" s="86" t="s">
        <v>289</v>
      </c>
      <c r="U23" s="87"/>
      <c r="V23" s="88"/>
    </row>
    <row r="24" spans="2:22" ht="12.75">
      <c r="B24" s="86" t="s">
        <v>256</v>
      </c>
      <c r="C24" s="87"/>
      <c r="D24" s="88"/>
      <c r="E24" s="86" t="s">
        <v>265</v>
      </c>
      <c r="F24" s="87"/>
      <c r="G24" s="88"/>
      <c r="H24" s="86" t="s">
        <v>273</v>
      </c>
      <c r="I24" s="87"/>
      <c r="J24" s="88"/>
      <c r="K24" s="86"/>
      <c r="L24" s="87"/>
      <c r="M24" s="88"/>
      <c r="N24" s="86" t="s">
        <v>279</v>
      </c>
      <c r="O24" s="87"/>
      <c r="P24" s="88"/>
      <c r="Q24" s="86" t="s">
        <v>285</v>
      </c>
      <c r="R24" s="87"/>
      <c r="S24" s="88"/>
      <c r="T24" s="86" t="s">
        <v>185</v>
      </c>
      <c r="U24" s="87"/>
      <c r="V24" s="88"/>
    </row>
    <row r="25" spans="2:22" ht="12.75">
      <c r="B25" s="86" t="s">
        <v>257</v>
      </c>
      <c r="C25" s="87"/>
      <c r="D25" s="88"/>
      <c r="E25" s="86" t="s">
        <v>266</v>
      </c>
      <c r="F25" s="87"/>
      <c r="G25" s="88"/>
      <c r="H25" s="86" t="s">
        <v>274</v>
      </c>
      <c r="I25" s="87"/>
      <c r="J25" s="88"/>
      <c r="K25" s="86"/>
      <c r="L25" s="87"/>
      <c r="M25" s="88"/>
      <c r="N25" s="86" t="s">
        <v>280</v>
      </c>
      <c r="O25" s="87"/>
      <c r="P25" s="88"/>
      <c r="Q25" s="86" t="s">
        <v>286</v>
      </c>
      <c r="R25" s="87"/>
      <c r="S25" s="88"/>
      <c r="T25" s="86" t="s">
        <v>290</v>
      </c>
      <c r="U25" s="87"/>
      <c r="V25" s="88"/>
    </row>
    <row r="26" spans="2:22" ht="12.75">
      <c r="B26" s="86" t="s">
        <v>258</v>
      </c>
      <c r="C26" s="87"/>
      <c r="D26" s="88"/>
      <c r="E26" s="86" t="s">
        <v>267</v>
      </c>
      <c r="F26" s="87"/>
      <c r="G26" s="88"/>
      <c r="H26" s="86" t="s">
        <v>275</v>
      </c>
      <c r="I26" s="87"/>
      <c r="J26" s="88"/>
      <c r="K26" s="86"/>
      <c r="L26" s="87"/>
      <c r="M26" s="88"/>
      <c r="N26" s="86" t="s">
        <v>281</v>
      </c>
      <c r="O26" s="87"/>
      <c r="P26" s="88"/>
      <c r="Q26" s="86" t="s">
        <v>287</v>
      </c>
      <c r="R26" s="87"/>
      <c r="S26" s="88"/>
      <c r="T26" s="86" t="s">
        <v>291</v>
      </c>
      <c r="U26" s="87"/>
      <c r="V26" s="88"/>
    </row>
    <row r="27" spans="2:22" ht="12.75">
      <c r="B27" s="86"/>
      <c r="C27" s="87"/>
      <c r="D27" s="88"/>
      <c r="E27" s="91"/>
      <c r="F27" s="87"/>
      <c r="G27" s="88"/>
      <c r="H27" s="91"/>
      <c r="I27" s="87"/>
      <c r="J27" s="88"/>
      <c r="K27" s="91"/>
      <c r="L27" s="87"/>
      <c r="M27" s="88"/>
      <c r="N27" s="91"/>
      <c r="O27" s="87"/>
      <c r="P27" s="88"/>
      <c r="Q27" s="86"/>
      <c r="R27" s="87"/>
      <c r="S27" s="88"/>
      <c r="T27" s="86"/>
      <c r="U27" s="87"/>
      <c r="V27" s="88"/>
    </row>
    <row r="28" spans="2:22" ht="12.75">
      <c r="B28" s="110"/>
      <c r="C28" s="111"/>
      <c r="D28" s="111"/>
      <c r="E28" s="109"/>
      <c r="F28" s="111"/>
      <c r="G28" s="111"/>
      <c r="H28" s="109"/>
      <c r="I28" s="111"/>
      <c r="J28" s="111"/>
      <c r="K28" s="109"/>
      <c r="L28" s="111"/>
      <c r="M28" s="111"/>
      <c r="N28" s="109"/>
      <c r="O28" s="111"/>
      <c r="P28" s="111"/>
      <c r="Q28" s="110"/>
      <c r="R28" s="111"/>
      <c r="S28" s="111"/>
      <c r="T28" s="110"/>
      <c r="U28" s="111"/>
      <c r="V28" s="111"/>
    </row>
    <row r="29" spans="1:9" ht="12.75">
      <c r="A29" s="1"/>
      <c r="B29" s="11"/>
      <c r="C29" s="14"/>
      <c r="D29" s="14"/>
      <c r="E29" s="14"/>
      <c r="F29" s="14"/>
      <c r="G29" s="14"/>
      <c r="H29" s="14"/>
      <c r="I29" s="14"/>
    </row>
    <row r="30" spans="1:9" ht="12.75">
      <c r="A30" s="9"/>
      <c r="B30" s="139"/>
      <c r="C30" s="14"/>
      <c r="D30" s="14"/>
      <c r="E30" s="14"/>
      <c r="F30" s="14"/>
      <c r="G30" s="14"/>
      <c r="H30" s="14"/>
      <c r="I30" s="14"/>
    </row>
    <row r="31" spans="1:11" ht="12.75">
      <c r="A31" s="96"/>
      <c r="B31" s="42" t="s">
        <v>67</v>
      </c>
      <c r="C31" s="238" t="s">
        <v>62</v>
      </c>
      <c r="D31" s="200"/>
      <c r="E31" s="200"/>
      <c r="F31" s="200"/>
      <c r="G31" s="200"/>
      <c r="H31" s="200"/>
      <c r="I31" s="200"/>
      <c r="J31" s="201"/>
      <c r="K31" s="23" t="s">
        <v>68</v>
      </c>
    </row>
    <row r="32" spans="2:11" ht="12.75">
      <c r="B32" s="106"/>
      <c r="C32" s="23"/>
      <c r="D32" s="23" t="s">
        <v>99</v>
      </c>
      <c r="E32" s="23" t="s">
        <v>100</v>
      </c>
      <c r="F32" s="23" t="s">
        <v>101</v>
      </c>
      <c r="G32" s="23" t="s">
        <v>102</v>
      </c>
      <c r="H32" s="23" t="s">
        <v>103</v>
      </c>
      <c r="I32" s="23" t="s">
        <v>104</v>
      </c>
      <c r="J32" s="23" t="s">
        <v>105</v>
      </c>
      <c r="K32" s="23"/>
    </row>
    <row r="34" spans="1:11" ht="12.75">
      <c r="A34" s="112">
        <v>1</v>
      </c>
      <c r="B34" s="43" t="s">
        <v>70</v>
      </c>
      <c r="C34" s="102" t="s">
        <v>85</v>
      </c>
      <c r="D34" s="20">
        <v>5.5</v>
      </c>
      <c r="E34" s="20">
        <v>7</v>
      </c>
      <c r="F34" s="20">
        <v>2.5</v>
      </c>
      <c r="G34" s="20">
        <v>4.5</v>
      </c>
      <c r="H34" s="20">
        <v>5.5</v>
      </c>
      <c r="I34" s="20">
        <v>7</v>
      </c>
      <c r="J34" s="95"/>
      <c r="K34" s="26">
        <f>SUM(D34:J34)</f>
        <v>32</v>
      </c>
    </row>
    <row r="35" spans="1:11" ht="12.75">
      <c r="A35" s="112">
        <v>2</v>
      </c>
      <c r="B35" s="43" t="s">
        <v>71</v>
      </c>
      <c r="C35" s="102" t="s">
        <v>85</v>
      </c>
      <c r="D35" s="20">
        <v>5</v>
      </c>
      <c r="E35" s="20">
        <v>4</v>
      </c>
      <c r="F35" s="20">
        <v>2</v>
      </c>
      <c r="G35" s="20">
        <v>4.5</v>
      </c>
      <c r="H35" s="20">
        <v>6.5</v>
      </c>
      <c r="I35" s="20">
        <v>6.5</v>
      </c>
      <c r="J35" s="95"/>
      <c r="K35" s="26">
        <f aca="true" t="shared" si="0" ref="K35:K45">SUM(D35:J35)</f>
        <v>28.5</v>
      </c>
    </row>
    <row r="36" spans="1:11" ht="12.75">
      <c r="A36" s="112">
        <v>3</v>
      </c>
      <c r="B36" s="43" t="s">
        <v>72</v>
      </c>
      <c r="C36" s="102" t="s">
        <v>85</v>
      </c>
      <c r="D36" s="20">
        <v>6.5</v>
      </c>
      <c r="E36" s="20">
        <v>5.5</v>
      </c>
      <c r="F36" s="20">
        <v>3.5</v>
      </c>
      <c r="G36" s="20">
        <v>4.5</v>
      </c>
      <c r="H36" s="20">
        <v>3.5</v>
      </c>
      <c r="I36" s="20">
        <v>5</v>
      </c>
      <c r="J36" s="95"/>
      <c r="K36" s="26">
        <f t="shared" si="0"/>
        <v>28.5</v>
      </c>
    </row>
    <row r="37" spans="1:11" ht="12.75">
      <c r="A37" s="112">
        <v>4</v>
      </c>
      <c r="B37" s="43" t="s">
        <v>73</v>
      </c>
      <c r="C37" s="102" t="s">
        <v>85</v>
      </c>
      <c r="D37" s="20">
        <v>7</v>
      </c>
      <c r="E37" s="20">
        <v>6</v>
      </c>
      <c r="F37" s="20">
        <v>2.5</v>
      </c>
      <c r="G37" s="20">
        <v>4.5</v>
      </c>
      <c r="H37" s="20">
        <v>3.5</v>
      </c>
      <c r="I37" s="20">
        <v>2.5</v>
      </c>
      <c r="J37" s="95"/>
      <c r="K37" s="26">
        <f t="shared" si="0"/>
        <v>26</v>
      </c>
    </row>
    <row r="38" spans="1:11" ht="12.75">
      <c r="A38" s="112">
        <v>5</v>
      </c>
      <c r="B38" s="43" t="s">
        <v>74</v>
      </c>
      <c r="C38" s="102" t="s">
        <v>85</v>
      </c>
      <c r="D38" s="20">
        <v>4</v>
      </c>
      <c r="E38" s="20">
        <v>4</v>
      </c>
      <c r="F38" s="20">
        <v>4</v>
      </c>
      <c r="G38" s="20">
        <v>6.5</v>
      </c>
      <c r="H38" s="20">
        <v>6.5</v>
      </c>
      <c r="I38" s="20">
        <v>2</v>
      </c>
      <c r="J38" s="95"/>
      <c r="K38" s="26">
        <f t="shared" si="0"/>
        <v>27</v>
      </c>
    </row>
    <row r="39" spans="1:11" ht="12.75">
      <c r="A39" s="112">
        <v>6</v>
      </c>
      <c r="B39" s="43" t="s">
        <v>75</v>
      </c>
      <c r="C39" s="102" t="s">
        <v>85</v>
      </c>
      <c r="D39" s="20">
        <v>3.5</v>
      </c>
      <c r="E39" s="20">
        <v>3.5</v>
      </c>
      <c r="F39" s="20">
        <v>5.5</v>
      </c>
      <c r="G39" s="20">
        <v>2.5</v>
      </c>
      <c r="H39" s="20">
        <v>4.5</v>
      </c>
      <c r="I39" s="20">
        <v>8.5</v>
      </c>
      <c r="J39" s="95"/>
      <c r="K39" s="26">
        <f t="shared" si="0"/>
        <v>28</v>
      </c>
    </row>
    <row r="40" spans="1:11" ht="12.75">
      <c r="A40" s="112">
        <v>7</v>
      </c>
      <c r="B40" s="43" t="s">
        <v>76</v>
      </c>
      <c r="C40" s="102" t="s">
        <v>85</v>
      </c>
      <c r="D40" s="20">
        <v>3</v>
      </c>
      <c r="E40" s="20">
        <v>5.5</v>
      </c>
      <c r="F40" s="20">
        <v>3.5</v>
      </c>
      <c r="G40" s="20">
        <v>6.5</v>
      </c>
      <c r="H40" s="20">
        <v>2.5</v>
      </c>
      <c r="I40" s="20">
        <v>4</v>
      </c>
      <c r="J40" s="95"/>
      <c r="K40" s="26">
        <f t="shared" si="0"/>
        <v>25</v>
      </c>
    </row>
    <row r="41" spans="1:11" ht="12.75">
      <c r="A41" s="112">
        <v>8</v>
      </c>
      <c r="B41" s="43" t="s">
        <v>77</v>
      </c>
      <c r="C41" s="102" t="s">
        <v>85</v>
      </c>
      <c r="D41" s="20">
        <v>2.5</v>
      </c>
      <c r="E41" s="20">
        <v>3</v>
      </c>
      <c r="F41" s="20">
        <v>5</v>
      </c>
      <c r="G41" s="20">
        <v>2.5</v>
      </c>
      <c r="H41" s="20">
        <v>5.5</v>
      </c>
      <c r="I41" s="20">
        <v>7</v>
      </c>
      <c r="J41" s="95"/>
      <c r="K41" s="26">
        <f t="shared" si="0"/>
        <v>25.5</v>
      </c>
    </row>
    <row r="42" spans="1:11" ht="12.75">
      <c r="A42" s="112">
        <v>9</v>
      </c>
      <c r="B42" s="43" t="s">
        <v>78</v>
      </c>
      <c r="C42" s="102" t="s">
        <v>85</v>
      </c>
      <c r="D42" s="20">
        <v>7</v>
      </c>
      <c r="E42" s="20">
        <v>5</v>
      </c>
      <c r="F42" s="20">
        <v>5.5</v>
      </c>
      <c r="G42" s="20">
        <v>5</v>
      </c>
      <c r="H42" s="20">
        <v>4.5</v>
      </c>
      <c r="I42" s="20">
        <v>8</v>
      </c>
      <c r="J42" s="95"/>
      <c r="K42" s="26">
        <f t="shared" si="0"/>
        <v>35</v>
      </c>
    </row>
    <row r="43" spans="1:11" ht="12.75">
      <c r="A43" s="112">
        <v>10</v>
      </c>
      <c r="B43" s="43" t="s">
        <v>79</v>
      </c>
      <c r="C43" s="102" t="s">
        <v>85</v>
      </c>
      <c r="D43" s="20">
        <v>2</v>
      </c>
      <c r="E43" s="20">
        <v>2</v>
      </c>
      <c r="F43" s="20">
        <v>7</v>
      </c>
      <c r="G43" s="20">
        <v>5</v>
      </c>
      <c r="H43" s="20">
        <v>3.5</v>
      </c>
      <c r="I43" s="20">
        <v>1</v>
      </c>
      <c r="J43" s="95"/>
      <c r="K43" s="26">
        <f t="shared" si="0"/>
        <v>20.5</v>
      </c>
    </row>
    <row r="44" spans="1:11" ht="12.75">
      <c r="A44" s="112">
        <v>11</v>
      </c>
      <c r="B44" s="43" t="s">
        <v>80</v>
      </c>
      <c r="C44" s="102" t="s">
        <v>85</v>
      </c>
      <c r="D44" s="20">
        <v>6</v>
      </c>
      <c r="E44" s="20">
        <v>5</v>
      </c>
      <c r="F44" s="20">
        <v>6.5</v>
      </c>
      <c r="G44" s="20">
        <v>4</v>
      </c>
      <c r="H44" s="20">
        <v>5.5</v>
      </c>
      <c r="I44" s="20">
        <v>2</v>
      </c>
      <c r="J44" s="95"/>
      <c r="K44" s="26">
        <f t="shared" si="0"/>
        <v>29</v>
      </c>
    </row>
    <row r="45" spans="1:11" ht="12.75">
      <c r="A45" s="112">
        <v>12</v>
      </c>
      <c r="B45" s="43" t="s">
        <v>69</v>
      </c>
      <c r="C45" s="102" t="s">
        <v>85</v>
      </c>
      <c r="D45" s="20">
        <v>2</v>
      </c>
      <c r="E45" s="20">
        <v>3.5</v>
      </c>
      <c r="F45" s="20">
        <v>6.5</v>
      </c>
      <c r="G45" s="20">
        <v>4</v>
      </c>
      <c r="H45" s="20">
        <v>2.5</v>
      </c>
      <c r="I45" s="20">
        <v>0</v>
      </c>
      <c r="J45" s="95"/>
      <c r="K45" s="26">
        <f t="shared" si="0"/>
        <v>18.5</v>
      </c>
    </row>
    <row r="46" spans="1:11" ht="12.75">
      <c r="A46" s="112">
        <v>13</v>
      </c>
      <c r="B46" s="160"/>
      <c r="C46" s="161"/>
      <c r="D46" s="162"/>
      <c r="E46" s="162"/>
      <c r="F46" s="162"/>
      <c r="G46" s="162"/>
      <c r="H46" s="162"/>
      <c r="I46" s="162"/>
      <c r="J46" s="163"/>
      <c r="K46" s="164"/>
    </row>
    <row r="47" spans="1:11" ht="12.75">
      <c r="A47" s="112">
        <v>14</v>
      </c>
      <c r="B47" s="160"/>
      <c r="C47" s="161"/>
      <c r="D47" s="162"/>
      <c r="E47" s="162"/>
      <c r="F47" s="162"/>
      <c r="G47" s="162"/>
      <c r="H47" s="162"/>
      <c r="I47" s="162"/>
      <c r="J47" s="163"/>
      <c r="K47" s="164"/>
    </row>
    <row r="48" spans="2:12" ht="12.75">
      <c r="B48" s="21"/>
      <c r="C48" s="13"/>
      <c r="D48" s="13"/>
      <c r="E48" s="13"/>
      <c r="F48" s="13"/>
      <c r="G48" s="13"/>
      <c r="H48" s="13"/>
      <c r="I48" s="13"/>
      <c r="J48" s="49"/>
      <c r="K48" s="46"/>
      <c r="L48" s="46"/>
    </row>
    <row r="49" spans="2:12" ht="12.75">
      <c r="B49" s="21"/>
      <c r="C49" s="13"/>
      <c r="D49" s="13"/>
      <c r="E49" s="13"/>
      <c r="F49" s="13"/>
      <c r="G49" s="13"/>
      <c r="H49" s="13"/>
      <c r="I49" s="13"/>
      <c r="J49" s="48"/>
      <c r="K49" s="46"/>
      <c r="L49" s="46"/>
    </row>
    <row r="50" spans="2:12" ht="12.75">
      <c r="B50" s="21"/>
      <c r="C50" s="13"/>
      <c r="D50" s="13"/>
      <c r="E50" s="13"/>
      <c r="F50" s="13"/>
      <c r="G50" s="13"/>
      <c r="H50" s="13"/>
      <c r="I50" s="13"/>
      <c r="J50" s="48"/>
      <c r="K50" s="46"/>
      <c r="L50" s="46"/>
    </row>
    <row r="51" spans="1:12" ht="18.75">
      <c r="A51" s="46"/>
      <c r="B51" s="208" t="s">
        <v>237</v>
      </c>
      <c r="C51" s="200"/>
      <c r="D51" s="200"/>
      <c r="E51" s="200"/>
      <c r="F51" s="200"/>
      <c r="G51" s="200"/>
      <c r="H51" s="201"/>
      <c r="I51" s="59"/>
      <c r="J51" s="47"/>
      <c r="K51" s="46"/>
      <c r="L51" s="46"/>
    </row>
    <row r="52" spans="1:12" ht="18">
      <c r="A52" s="97"/>
      <c r="B52" s="28"/>
      <c r="C52" s="28"/>
      <c r="D52" s="28"/>
      <c r="E52" s="28"/>
      <c r="F52" s="28"/>
      <c r="G52" s="28"/>
      <c r="H52" s="28"/>
      <c r="I52" s="28"/>
      <c r="J52" s="46"/>
      <c r="K52" s="46"/>
      <c r="L52" s="46"/>
    </row>
    <row r="53" spans="1:12" ht="18">
      <c r="A53" s="51"/>
      <c r="B53" s="58" t="s">
        <v>86</v>
      </c>
      <c r="C53" s="206" t="s">
        <v>61</v>
      </c>
      <c r="D53" s="237"/>
      <c r="E53" s="237"/>
      <c r="F53" s="237"/>
      <c r="G53" s="237"/>
      <c r="H53" s="114" t="s">
        <v>62</v>
      </c>
      <c r="I53" s="28"/>
      <c r="K53" s="46"/>
      <c r="L53" s="46"/>
    </row>
    <row r="54" spans="1:12" ht="15.75">
      <c r="A54" s="51"/>
      <c r="B54" s="62">
        <f>IF(H54=H55,"1T",1)</f>
        <v>1</v>
      </c>
      <c r="C54" s="53" t="str">
        <f>"09  "&amp;VLOOKUP("9A",'SCORES &amp; HANDICAP CALCULATOR'!$B$3:$C$50,2,FALSE)&amp;"/"&amp;VLOOKUP("9B",'SCORES &amp; HANDICAP CALCULATOR'!$B$3:$C$50,2,FALSE)</f>
        <v>09  Doug Cormier/Joe Pearson</v>
      </c>
      <c r="D54" s="56"/>
      <c r="E54" s="56"/>
      <c r="F54" s="56"/>
      <c r="G54" s="55"/>
      <c r="H54" s="116">
        <f>VLOOKUP("Team "&amp;LEFT(C54,2),'SCHEDULE &amp; POINTS'!$B$34:$K$47,10,FALSE)</f>
        <v>35</v>
      </c>
      <c r="I54" s="52">
        <v>1</v>
      </c>
      <c r="K54" s="46"/>
      <c r="L54" s="46"/>
    </row>
    <row r="55" spans="1:12" ht="15.75">
      <c r="A55" s="46"/>
      <c r="B55" s="62">
        <f aca="true" t="shared" si="1" ref="B55:B65">IF(H55=H54,B54,IF(H55=H56,I55&amp;"T",I55))</f>
        <v>2</v>
      </c>
      <c r="C55" s="53" t="str">
        <f>"01  "&amp;VLOOKUP("1A",'SCORES &amp; HANDICAP CALCULATOR'!$B$3:$C$50,2,FALSE)&amp;"/"&amp;VLOOKUP("1B",'SCORES &amp; HANDICAP CALCULATOR'!$B$3:$C$50,2,FALSE)</f>
        <v>01  Gary Bittner/Mike Dauphinais</v>
      </c>
      <c r="D55" s="56"/>
      <c r="E55" s="56"/>
      <c r="F55" s="56"/>
      <c r="G55" s="55"/>
      <c r="H55" s="116">
        <f>VLOOKUP("Team "&amp;LEFT(C55,2),'SCHEDULE &amp; POINTS'!$B$34:$K$47,10,FALSE)</f>
        <v>32</v>
      </c>
      <c r="I55" s="52">
        <v>2</v>
      </c>
      <c r="K55" s="46"/>
      <c r="L55" s="46"/>
    </row>
    <row r="56" spans="1:12" ht="15.75">
      <c r="A56" s="46"/>
      <c r="B56" s="62">
        <f t="shared" si="1"/>
        <v>3</v>
      </c>
      <c r="C56" s="53" t="str">
        <f>"11  "&amp;VLOOKUP("11A",'SCORES &amp; HANDICAP CALCULATOR'!$B$3:$C$50,2,FALSE)&amp;"/"&amp;VLOOKUP("11B",'SCORES &amp; HANDICAP CALCULATOR'!$B$3:$C$50,2,FALSE)</f>
        <v>11  Walter Drake/John Cassin</v>
      </c>
      <c r="D56" s="56"/>
      <c r="E56" s="56"/>
      <c r="F56" s="56"/>
      <c r="G56" s="55"/>
      <c r="H56" s="116">
        <f>VLOOKUP("Team "&amp;LEFT(C56,2),'SCHEDULE &amp; POINTS'!$B$34:$K$47,10,FALSE)</f>
        <v>29</v>
      </c>
      <c r="I56" s="52">
        <v>3</v>
      </c>
      <c r="K56" s="46"/>
      <c r="L56" s="46"/>
    </row>
    <row r="57" spans="1:12" ht="15.75">
      <c r="A57" s="46"/>
      <c r="B57" s="62" t="str">
        <f t="shared" si="1"/>
        <v>4T</v>
      </c>
      <c r="C57" s="53" t="str">
        <f>"02  "&amp;VLOOKUP("2A",'SCORES &amp; HANDICAP CALCULATOR'!$B$3:$C$50,2,FALSE)&amp;"/"&amp;VLOOKUP("2B",'SCORES &amp; HANDICAP CALCULATOR'!$B$3:$C$50,2,FALSE)</f>
        <v>02  Lester Lockhart/Pete Normandin</v>
      </c>
      <c r="D57" s="56"/>
      <c r="E57" s="56"/>
      <c r="F57" s="56"/>
      <c r="G57" s="55"/>
      <c r="H57" s="116">
        <f>VLOOKUP("Team "&amp;LEFT(C57,2),'SCHEDULE &amp; POINTS'!$B$34:$K$47,10,FALSE)</f>
        <v>28.5</v>
      </c>
      <c r="I57" s="52">
        <v>4</v>
      </c>
      <c r="K57" s="46"/>
      <c r="L57" s="46"/>
    </row>
    <row r="58" spans="1:12" ht="15.75">
      <c r="A58" s="46"/>
      <c r="B58" s="62" t="str">
        <f t="shared" si="1"/>
        <v>4T</v>
      </c>
      <c r="C58" s="53" t="str">
        <f>"03  "&amp;VLOOKUP("3A",'SCORES &amp; HANDICAP CALCULATOR'!$B$3:$C$50,2,FALSE)&amp;"/"&amp;VLOOKUP("3B",'SCORES &amp; HANDICAP CALCULATOR'!$B$3:$C$50,2,FALSE)</f>
        <v>03  Ralph Romano/Mike Romano</v>
      </c>
      <c r="D58" s="56"/>
      <c r="E58" s="56"/>
      <c r="F58" s="56"/>
      <c r="G58" s="55"/>
      <c r="H58" s="116">
        <f>VLOOKUP("Team "&amp;LEFT(C58,2),'SCHEDULE &amp; POINTS'!$B$34:$K$47,10,FALSE)</f>
        <v>28.5</v>
      </c>
      <c r="I58" s="52">
        <v>5</v>
      </c>
      <c r="K58" s="46"/>
      <c r="L58" s="46"/>
    </row>
    <row r="59" spans="1:12" ht="15.75">
      <c r="A59" s="46"/>
      <c r="B59" s="62">
        <f t="shared" si="1"/>
        <v>6</v>
      </c>
      <c r="C59" s="53" t="str">
        <f>"06  "&amp;VLOOKUP("6A",'SCORES &amp; HANDICAP CALCULATOR'!$B$3:$C$50,2,FALSE)&amp;"/"&amp;VLOOKUP("6B",'SCORES &amp; HANDICAP CALCULATOR'!$B$3:$C$50,2,FALSE)</f>
        <v>06  Dennis Normandin/Marc Normandin</v>
      </c>
      <c r="D59" s="56"/>
      <c r="E59" s="56"/>
      <c r="F59" s="56"/>
      <c r="G59" s="55"/>
      <c r="H59" s="116">
        <f>VLOOKUP("Team "&amp;LEFT(C59,2),'SCHEDULE &amp; POINTS'!$B$34:$K$47,10,FALSE)</f>
        <v>28</v>
      </c>
      <c r="I59" s="52">
        <v>6</v>
      </c>
      <c r="K59" s="46"/>
      <c r="L59" s="46"/>
    </row>
    <row r="60" spans="1:12" ht="15.75">
      <c r="A60" s="46"/>
      <c r="B60" s="62">
        <f t="shared" si="1"/>
        <v>7</v>
      </c>
      <c r="C60" s="53" t="str">
        <f>"05  "&amp;VLOOKUP("5A",'SCORES &amp; HANDICAP CALCULATOR'!$B$3:$C$50,2,FALSE)&amp;"/"&amp;VLOOKUP("5B",'SCORES &amp; HANDICAP CALCULATOR'!$B$3:$C$50,2,FALSE)</f>
        <v>05  Gary Leavenworth/Patty Leavenworth</v>
      </c>
      <c r="D60" s="56"/>
      <c r="E60" s="56"/>
      <c r="F60" s="56"/>
      <c r="G60" s="55"/>
      <c r="H60" s="116">
        <f>VLOOKUP("Team "&amp;LEFT(C60,2),'SCHEDULE &amp; POINTS'!$B$34:$K$47,10,FALSE)</f>
        <v>27</v>
      </c>
      <c r="I60" s="52">
        <v>7</v>
      </c>
      <c r="K60" s="46"/>
      <c r="L60" s="46"/>
    </row>
    <row r="61" spans="1:12" ht="15.75">
      <c r="A61" s="46"/>
      <c r="B61" s="62">
        <f t="shared" si="1"/>
        <v>8</v>
      </c>
      <c r="C61" s="53" t="str">
        <f>"04  "&amp;VLOOKUP("4A",'SCORES &amp; HANDICAP CALCULATOR'!$B$3:$C$50,2,FALSE)&amp;"/"&amp;VLOOKUP("4B",'SCORES &amp; HANDICAP CALCULATOR'!$B$3:$C$50,2,FALSE)</f>
        <v>04  Peg Romano/Lynn Laroche</v>
      </c>
      <c r="D61" s="56"/>
      <c r="E61" s="56"/>
      <c r="F61" s="56"/>
      <c r="G61" s="55"/>
      <c r="H61" s="116">
        <f>VLOOKUP("Team "&amp;LEFT(C61,2),'SCHEDULE &amp; POINTS'!$B$34:$K$47,10,FALSE)</f>
        <v>26</v>
      </c>
      <c r="I61" s="52">
        <v>8</v>
      </c>
      <c r="K61" s="46"/>
      <c r="L61" s="46"/>
    </row>
    <row r="62" spans="1:12" ht="15.75">
      <c r="A62" s="46"/>
      <c r="B62" s="62">
        <f t="shared" si="1"/>
        <v>9</v>
      </c>
      <c r="C62" s="53" t="str">
        <f>"08  "&amp;VLOOKUP("8A",'SCORES &amp; HANDICAP CALCULATOR'!$B$3:$C$50,2,FALSE)&amp;"/"&amp;VLOOKUP("8B",'SCORES &amp; HANDICAP CALCULATOR'!$B$3:$C$50,2,FALSE)</f>
        <v>08  Paul Fontaine/Yogi DiPasquale</v>
      </c>
      <c r="D62" s="56"/>
      <c r="E62" s="56"/>
      <c r="F62" s="56"/>
      <c r="G62" s="55"/>
      <c r="H62" s="116">
        <f>VLOOKUP("Team "&amp;LEFT(C62,2),'SCHEDULE &amp; POINTS'!$B$34:$K$47,10,FALSE)</f>
        <v>25.5</v>
      </c>
      <c r="I62" s="52">
        <v>9</v>
      </c>
      <c r="K62" s="46"/>
      <c r="L62" s="46"/>
    </row>
    <row r="63" spans="1:12" ht="15.75">
      <c r="A63" s="46"/>
      <c r="B63" s="62">
        <f t="shared" si="1"/>
        <v>10</v>
      </c>
      <c r="C63" s="53" t="str">
        <f>"07  "&amp;VLOOKUP("7A",'SCORES &amp; HANDICAP CALCULATOR'!$B$3:$C$50,2,FALSE)&amp;"/"&amp;VLOOKUP("7B",'SCORES &amp; HANDICAP CALCULATOR'!$B$3:$C$50,2,FALSE)</f>
        <v>07  Pete Romano/Ralph Romano</v>
      </c>
      <c r="D63" s="56"/>
      <c r="E63" s="56"/>
      <c r="F63" s="56"/>
      <c r="G63" s="55"/>
      <c r="H63" s="116">
        <f>VLOOKUP("Team "&amp;LEFT(C63,2),'SCHEDULE &amp; POINTS'!$B$34:$K$47,10,FALSE)</f>
        <v>25</v>
      </c>
      <c r="I63" s="52">
        <v>10</v>
      </c>
      <c r="K63" s="46"/>
      <c r="L63" s="46"/>
    </row>
    <row r="64" spans="2:9" ht="15.75">
      <c r="B64" s="62">
        <f t="shared" si="1"/>
        <v>11</v>
      </c>
      <c r="C64" s="53" t="str">
        <f>"10  "&amp;VLOOKUP("10A",'SCORES &amp; HANDICAP CALCULATOR'!$B$3:$C$50,2,FALSE)&amp;"/"&amp;VLOOKUP("10B",'SCORES &amp; HANDICAP CALCULATOR'!$B$3:$C$50,2,FALSE)</f>
        <v>10  Dave Cormier/Norman Boisvert</v>
      </c>
      <c r="D64" s="56"/>
      <c r="E64" s="56"/>
      <c r="F64" s="56"/>
      <c r="G64" s="55"/>
      <c r="H64" s="116">
        <f>VLOOKUP("Team "&amp;LEFT(C64,2),'SCHEDULE &amp; POINTS'!$B$34:$K$47,10,FALSE)</f>
        <v>20.5</v>
      </c>
      <c r="I64" s="52">
        <v>11</v>
      </c>
    </row>
    <row r="65" spans="2:9" ht="15.75">
      <c r="B65" s="62">
        <f t="shared" si="1"/>
        <v>12</v>
      </c>
      <c r="C65" s="53" t="str">
        <f>"12  "&amp;VLOOKUP("12A",'SCORES &amp; HANDICAP CALCULATOR'!$B$3:$C$50,2,FALSE)&amp;"/"&amp;VLOOKUP("12B",'SCORES &amp; HANDICAP CALCULATOR'!$B$3:$C$50,2,FALSE)</f>
        <v>12  Mike Marlborough/Rich Wilson</v>
      </c>
      <c r="D65" s="56"/>
      <c r="E65" s="56"/>
      <c r="F65" s="56"/>
      <c r="G65" s="55"/>
      <c r="H65" s="116">
        <f>VLOOKUP("Team "&amp;LEFT(C65,2),'SCHEDULE &amp; POINTS'!$B$34:$K$47,10,FALSE)</f>
        <v>18.5</v>
      </c>
      <c r="I65" s="52">
        <v>12</v>
      </c>
    </row>
    <row r="66" spans="2:9" ht="15.75">
      <c r="B66" s="157"/>
      <c r="C66" s="158"/>
      <c r="D66" s="59"/>
      <c r="E66" s="59"/>
      <c r="F66" s="59"/>
      <c r="G66" s="59"/>
      <c r="H66" s="165">
        <v>-1</v>
      </c>
      <c r="I66" s="52">
        <v>13</v>
      </c>
    </row>
    <row r="67" spans="2:9" ht="15.75">
      <c r="B67" s="157"/>
      <c r="C67" s="158"/>
      <c r="D67" s="59"/>
      <c r="E67" s="59"/>
      <c r="F67" s="59"/>
      <c r="G67" s="59"/>
      <c r="H67" s="159"/>
      <c r="I67" s="52">
        <v>14</v>
      </c>
    </row>
    <row r="82" ht="12.75">
      <c r="B82" s="18"/>
    </row>
    <row r="83" ht="12.75">
      <c r="B83" s="18"/>
    </row>
  </sheetData>
  <mergeCells count="5">
    <mergeCell ref="B3:J3"/>
    <mergeCell ref="C53:G53"/>
    <mergeCell ref="C31:J31"/>
    <mergeCell ref="B51:H51"/>
    <mergeCell ref="B18:V18"/>
  </mergeCells>
  <printOptions horizontalCentered="1" verticalCentered="1"/>
  <pageMargins left="0.75" right="0.75" top="1" bottom="1" header="0.5" footer="0.5"/>
  <pageSetup horizontalDpi="300" verticalDpi="300" orientation="landscape" r:id="rId2"/>
  <headerFooter alignWithMargins="0">
    <oddHeader>&amp;C&amp;24Romano Golf League</oddHeader>
    <oddFooter>&amp;C&amp;D</oddFooter>
  </headerFooter>
  <drawing r:id="rId1"/>
</worksheet>
</file>

<file path=xl/worksheets/sheet6.xml><?xml version="1.0" encoding="utf-8"?>
<worksheet xmlns="http://schemas.openxmlformats.org/spreadsheetml/2006/main" xmlns:r="http://schemas.openxmlformats.org/officeDocument/2006/relationships">
  <sheetPr codeName="Sheet13"/>
  <dimension ref="A3:V83"/>
  <sheetViews>
    <sheetView showGridLines="0" showRowColHeaders="0" workbookViewId="0" topLeftCell="A47">
      <selection activeCell="B69" sqref="B69"/>
    </sheetView>
  </sheetViews>
  <sheetFormatPr defaultColWidth="9.140625" defaultRowHeight="12.75"/>
  <cols>
    <col min="2" max="2" width="10.57421875" style="0" bestFit="1" customWidth="1"/>
    <col min="3" max="21" width="10.00390625" style="0" customWidth="1"/>
    <col min="22" max="22" width="9.7109375" style="0" customWidth="1"/>
  </cols>
  <sheetData>
    <row r="3" spans="2:9" ht="12.75">
      <c r="B3" s="238" t="s">
        <v>63</v>
      </c>
      <c r="C3" s="241"/>
      <c r="D3" s="241"/>
      <c r="E3" s="241"/>
      <c r="F3" s="241"/>
      <c r="G3" s="241"/>
      <c r="H3" s="241"/>
      <c r="I3" s="242"/>
    </row>
    <row r="4" spans="2:20" ht="12.75">
      <c r="B4" s="22" t="s">
        <v>64</v>
      </c>
      <c r="C4" s="23" t="s">
        <v>18</v>
      </c>
      <c r="D4" s="23" t="s">
        <v>19</v>
      </c>
      <c r="E4" s="23" t="s">
        <v>20</v>
      </c>
      <c r="F4" s="23" t="s">
        <v>21</v>
      </c>
      <c r="G4" s="23" t="s">
        <v>22</v>
      </c>
      <c r="H4" s="23" t="s">
        <v>23</v>
      </c>
      <c r="I4" s="23" t="s">
        <v>24</v>
      </c>
      <c r="M4" s="10"/>
      <c r="N4" s="10"/>
      <c r="O4" s="10"/>
      <c r="P4" s="10"/>
      <c r="Q4" s="10"/>
      <c r="R4" s="140"/>
      <c r="S4" s="10"/>
      <c r="T4" s="10"/>
    </row>
    <row r="5" spans="2:18" ht="12.75">
      <c r="B5" s="22" t="s">
        <v>65</v>
      </c>
      <c r="C5" s="143">
        <v>38840</v>
      </c>
      <c r="D5" s="143">
        <v>38847</v>
      </c>
      <c r="E5" s="143">
        <v>38854</v>
      </c>
      <c r="F5" s="143">
        <v>38861</v>
      </c>
      <c r="G5" s="143">
        <v>38868</v>
      </c>
      <c r="H5" s="143">
        <v>38875</v>
      </c>
      <c r="I5" s="143">
        <v>38882</v>
      </c>
      <c r="J5" s="10"/>
      <c r="K5" s="10"/>
      <c r="L5" s="10"/>
      <c r="R5" s="141"/>
    </row>
    <row r="6" spans="2:18" ht="12.75">
      <c r="B6" s="24" t="s">
        <v>66</v>
      </c>
      <c r="C6" s="25" t="s">
        <v>60</v>
      </c>
      <c r="D6" s="25" t="s">
        <v>59</v>
      </c>
      <c r="E6" s="25" t="s">
        <v>60</v>
      </c>
      <c r="F6" s="25" t="s">
        <v>59</v>
      </c>
      <c r="G6" s="25" t="s">
        <v>60</v>
      </c>
      <c r="H6" s="25" t="s">
        <v>59</v>
      </c>
      <c r="I6" s="25" t="s">
        <v>60</v>
      </c>
      <c r="M6" s="142"/>
      <c r="R6" s="141"/>
    </row>
    <row r="7" spans="2:18" ht="12.75">
      <c r="B7" s="23" t="s">
        <v>117</v>
      </c>
      <c r="C7" s="19"/>
      <c r="D7" s="19"/>
      <c r="E7" s="19"/>
      <c r="F7" s="19"/>
      <c r="G7" s="19"/>
      <c r="H7" s="19"/>
      <c r="I7" s="19"/>
      <c r="M7" s="142"/>
      <c r="R7" s="141"/>
    </row>
    <row r="8" spans="2:18" ht="12.75">
      <c r="B8" s="144">
        <v>0.1875</v>
      </c>
      <c r="C8" s="3" t="s">
        <v>124</v>
      </c>
      <c r="D8" s="3" t="s">
        <v>130</v>
      </c>
      <c r="E8" s="3" t="s">
        <v>135</v>
      </c>
      <c r="F8" s="3" t="s">
        <v>140</v>
      </c>
      <c r="G8" s="3" t="s">
        <v>144</v>
      </c>
      <c r="H8" s="3" t="s">
        <v>148</v>
      </c>
      <c r="I8" s="3" t="s">
        <v>29</v>
      </c>
      <c r="M8" s="142"/>
      <c r="R8" s="141"/>
    </row>
    <row r="9" spans="2:18" ht="12.75">
      <c r="B9" s="145">
        <v>0.19305555555555554</v>
      </c>
      <c r="C9" s="3" t="s">
        <v>125</v>
      </c>
      <c r="D9" s="3" t="s">
        <v>131</v>
      </c>
      <c r="E9" s="3" t="s">
        <v>136</v>
      </c>
      <c r="F9" s="3" t="s">
        <v>141</v>
      </c>
      <c r="G9" s="3" t="s">
        <v>119</v>
      </c>
      <c r="H9" s="3" t="s">
        <v>149</v>
      </c>
      <c r="I9" s="3" t="s">
        <v>153</v>
      </c>
      <c r="M9" s="142"/>
      <c r="R9" s="141"/>
    </row>
    <row r="10" spans="2:18" ht="12.75">
      <c r="B10" s="145">
        <v>0.198611111111111</v>
      </c>
      <c r="C10" s="3" t="s">
        <v>126</v>
      </c>
      <c r="D10" s="3" t="s">
        <v>132</v>
      </c>
      <c r="E10" s="3" t="s">
        <v>137</v>
      </c>
      <c r="F10" s="3" t="s">
        <v>25</v>
      </c>
      <c r="G10" s="3" t="s">
        <v>145</v>
      </c>
      <c r="H10" s="3" t="s">
        <v>150</v>
      </c>
      <c r="I10" s="3" t="s">
        <v>154</v>
      </c>
      <c r="M10" s="142"/>
      <c r="R10" s="141"/>
    </row>
    <row r="11" spans="2:18" ht="12.75">
      <c r="B11" s="145">
        <v>0.204166666666667</v>
      </c>
      <c r="C11" s="3" t="s">
        <v>127</v>
      </c>
      <c r="D11" s="3" t="s">
        <v>133</v>
      </c>
      <c r="E11" s="3" t="s">
        <v>138</v>
      </c>
      <c r="F11" s="3" t="s">
        <v>28</v>
      </c>
      <c r="G11" s="3" t="s">
        <v>146</v>
      </c>
      <c r="H11" s="3" t="s">
        <v>27</v>
      </c>
      <c r="I11" s="3" t="s">
        <v>155</v>
      </c>
      <c r="K11" s="50" t="s">
        <v>80</v>
      </c>
      <c r="M11" s="142"/>
      <c r="R11" s="141"/>
    </row>
    <row r="12" spans="2:18" ht="12.75">
      <c r="B12" s="145">
        <v>0.209722222222222</v>
      </c>
      <c r="C12" s="3" t="s">
        <v>128</v>
      </c>
      <c r="D12" s="3" t="s">
        <v>134</v>
      </c>
      <c r="E12" s="3" t="s">
        <v>139</v>
      </c>
      <c r="F12" s="3" t="s">
        <v>142</v>
      </c>
      <c r="G12" s="3" t="s">
        <v>147</v>
      </c>
      <c r="H12" s="3" t="s">
        <v>151</v>
      </c>
      <c r="I12" s="3" t="s">
        <v>156</v>
      </c>
      <c r="K12" s="104">
        <v>0</v>
      </c>
      <c r="M12" s="142"/>
      <c r="R12" s="141"/>
    </row>
    <row r="13" spans="2:11" ht="12.75">
      <c r="B13" s="145">
        <v>0.215277777777778</v>
      </c>
      <c r="C13" s="3" t="s">
        <v>129</v>
      </c>
      <c r="D13" s="3" t="s">
        <v>123</v>
      </c>
      <c r="E13" s="3" t="s">
        <v>26</v>
      </c>
      <c r="F13" s="3" t="s">
        <v>143</v>
      </c>
      <c r="G13" s="3" t="s">
        <v>118</v>
      </c>
      <c r="H13" s="3" t="s">
        <v>152</v>
      </c>
      <c r="I13" s="3" t="s">
        <v>157</v>
      </c>
      <c r="K13" s="50" t="s">
        <v>69</v>
      </c>
    </row>
    <row r="14" spans="2:11" ht="12.75">
      <c r="B14" s="13"/>
      <c r="C14" s="13"/>
      <c r="D14" s="13"/>
      <c r="E14" s="13"/>
      <c r="F14" s="13"/>
      <c r="G14" s="13"/>
      <c r="H14" s="13"/>
      <c r="I14" s="13"/>
      <c r="K14" s="104">
        <v>0</v>
      </c>
    </row>
    <row r="15" spans="2:11" ht="12.75">
      <c r="B15" s="21"/>
      <c r="C15" s="13"/>
      <c r="D15" s="13"/>
      <c r="E15" s="13"/>
      <c r="F15" s="13"/>
      <c r="G15" s="13"/>
      <c r="H15" s="13"/>
      <c r="I15" s="13"/>
      <c r="K15" s="105" t="s">
        <v>203</v>
      </c>
    </row>
    <row r="16" ht="12.75">
      <c r="B16" s="11"/>
    </row>
    <row r="17" spans="1:9" ht="12.75">
      <c r="A17" s="9"/>
      <c r="B17" s="11"/>
      <c r="C17" s="45"/>
      <c r="D17" s="44"/>
      <c r="E17" s="44"/>
      <c r="F17" s="44"/>
      <c r="G17" s="44"/>
      <c r="H17" s="44"/>
      <c r="I17" s="44"/>
    </row>
    <row r="18" spans="2:22" ht="12.75">
      <c r="B18" s="238" t="s">
        <v>202</v>
      </c>
      <c r="C18" s="239"/>
      <c r="D18" s="239"/>
      <c r="E18" s="239"/>
      <c r="F18" s="239"/>
      <c r="G18" s="239"/>
      <c r="H18" s="239"/>
      <c r="I18" s="239"/>
      <c r="J18" s="239"/>
      <c r="K18" s="239"/>
      <c r="L18" s="239"/>
      <c r="M18" s="239"/>
      <c r="N18" s="239"/>
      <c r="O18" s="239"/>
      <c r="P18" s="239"/>
      <c r="Q18" s="239"/>
      <c r="R18" s="239"/>
      <c r="S18" s="239"/>
      <c r="T18" s="239"/>
      <c r="U18" s="239"/>
      <c r="V18" s="240"/>
    </row>
    <row r="19" spans="2:22" ht="12.75">
      <c r="B19" s="103" t="s">
        <v>18</v>
      </c>
      <c r="C19" s="107"/>
      <c r="D19" s="108"/>
      <c r="E19" s="103" t="s">
        <v>19</v>
      </c>
      <c r="F19" s="107"/>
      <c r="G19" s="108"/>
      <c r="H19" s="103" t="s">
        <v>20</v>
      </c>
      <c r="I19" s="107"/>
      <c r="J19" s="108"/>
      <c r="K19" s="103" t="s">
        <v>21</v>
      </c>
      <c r="L19" s="107"/>
      <c r="M19" s="108"/>
      <c r="N19" s="103" t="s">
        <v>22</v>
      </c>
      <c r="O19" s="107"/>
      <c r="P19" s="108"/>
      <c r="Q19" s="103" t="s">
        <v>23</v>
      </c>
      <c r="R19" s="107"/>
      <c r="S19" s="108"/>
      <c r="T19" s="103" t="s">
        <v>24</v>
      </c>
      <c r="U19" s="107"/>
      <c r="V19" s="108"/>
    </row>
    <row r="20" spans="2:20" ht="12.75">
      <c r="B20" s="9">
        <v>1</v>
      </c>
      <c r="C20" s="46"/>
      <c r="D20" s="46"/>
      <c r="E20" s="50">
        <v>1</v>
      </c>
      <c r="F20" s="46"/>
      <c r="G20" s="46"/>
      <c r="H20" s="50">
        <v>1</v>
      </c>
      <c r="I20" s="46"/>
      <c r="J20" s="46"/>
      <c r="K20" s="50">
        <v>1</v>
      </c>
      <c r="N20" s="9">
        <v>1</v>
      </c>
      <c r="Q20" s="9">
        <v>1</v>
      </c>
      <c r="T20" s="9">
        <v>1</v>
      </c>
    </row>
    <row r="21" spans="2:22" ht="12.75">
      <c r="B21" s="94"/>
      <c r="C21" s="87"/>
      <c r="D21" s="88"/>
      <c r="E21" s="89"/>
      <c r="F21" s="87"/>
      <c r="G21" s="88"/>
      <c r="H21" s="89" t="s">
        <v>172</v>
      </c>
      <c r="I21" s="87"/>
      <c r="J21" s="90"/>
      <c r="K21" s="86" t="s">
        <v>182</v>
      </c>
      <c r="L21" s="92"/>
      <c r="M21" s="93"/>
      <c r="N21" s="94" t="s">
        <v>189</v>
      </c>
      <c r="O21" s="92"/>
      <c r="P21" s="93"/>
      <c r="Q21" s="94"/>
      <c r="R21" s="92"/>
      <c r="S21" s="93"/>
      <c r="T21" s="94" t="s">
        <v>195</v>
      </c>
      <c r="U21" s="92"/>
      <c r="V21" s="93"/>
    </row>
    <row r="22" spans="2:22" ht="12.75">
      <c r="B22" s="86"/>
      <c r="C22" s="87"/>
      <c r="D22" s="88"/>
      <c r="E22" s="86"/>
      <c r="F22" s="87"/>
      <c r="G22" s="88"/>
      <c r="H22" s="86" t="s">
        <v>188</v>
      </c>
      <c r="I22" s="87"/>
      <c r="J22" s="88"/>
      <c r="K22" s="86" t="s">
        <v>183</v>
      </c>
      <c r="L22" s="87"/>
      <c r="M22" s="88"/>
      <c r="N22" s="86" t="s">
        <v>190</v>
      </c>
      <c r="O22" s="87"/>
      <c r="P22" s="88"/>
      <c r="Q22" s="86"/>
      <c r="R22" s="87"/>
      <c r="S22" s="88"/>
      <c r="T22" s="86" t="s">
        <v>196</v>
      </c>
      <c r="U22" s="87"/>
      <c r="V22" s="88"/>
    </row>
    <row r="23" spans="2:22" ht="12.75">
      <c r="B23" s="86"/>
      <c r="C23" s="87"/>
      <c r="D23" s="88"/>
      <c r="E23" s="86"/>
      <c r="F23" s="87"/>
      <c r="G23" s="88"/>
      <c r="H23" s="86" t="s">
        <v>173</v>
      </c>
      <c r="I23" s="87"/>
      <c r="J23" s="88"/>
      <c r="K23" s="86" t="s">
        <v>184</v>
      </c>
      <c r="L23" s="87"/>
      <c r="M23" s="88"/>
      <c r="N23" s="86" t="s">
        <v>191</v>
      </c>
      <c r="O23" s="87"/>
      <c r="P23" s="88"/>
      <c r="Q23" s="86"/>
      <c r="R23" s="87"/>
      <c r="S23" s="88"/>
      <c r="T23" s="86" t="s">
        <v>197</v>
      </c>
      <c r="U23" s="87"/>
      <c r="V23" s="88"/>
    </row>
    <row r="24" spans="2:22" ht="12.75">
      <c r="B24" s="86"/>
      <c r="C24" s="87"/>
      <c r="D24" s="88"/>
      <c r="E24" s="91"/>
      <c r="F24" s="87"/>
      <c r="G24" s="88"/>
      <c r="H24" s="86" t="s">
        <v>174</v>
      </c>
      <c r="I24" s="87"/>
      <c r="J24" s="88"/>
      <c r="K24" s="86" t="s">
        <v>185</v>
      </c>
      <c r="L24" s="87"/>
      <c r="M24" s="88"/>
      <c r="N24" s="86" t="s">
        <v>192</v>
      </c>
      <c r="O24" s="87"/>
      <c r="P24" s="88"/>
      <c r="Q24" s="86"/>
      <c r="R24" s="87"/>
      <c r="S24" s="88"/>
      <c r="T24" s="86" t="s">
        <v>198</v>
      </c>
      <c r="U24" s="87"/>
      <c r="V24" s="88"/>
    </row>
    <row r="25" spans="2:22" ht="12.75">
      <c r="B25" s="86"/>
      <c r="C25" s="87"/>
      <c r="D25" s="88"/>
      <c r="E25" s="86"/>
      <c r="F25" s="87"/>
      <c r="G25" s="88"/>
      <c r="H25" s="86" t="s">
        <v>175</v>
      </c>
      <c r="I25" s="87"/>
      <c r="J25" s="88"/>
      <c r="K25" s="86" t="s">
        <v>186</v>
      </c>
      <c r="L25" s="87"/>
      <c r="M25" s="88"/>
      <c r="N25" s="86" t="s">
        <v>193</v>
      </c>
      <c r="O25" s="87"/>
      <c r="P25" s="88"/>
      <c r="Q25" s="86"/>
      <c r="R25" s="87"/>
      <c r="S25" s="88"/>
      <c r="T25" s="86" t="s">
        <v>199</v>
      </c>
      <c r="U25" s="87"/>
      <c r="V25" s="88"/>
    </row>
    <row r="26" spans="2:22" ht="12.75">
      <c r="B26" s="86"/>
      <c r="C26" s="87"/>
      <c r="D26" s="88"/>
      <c r="E26" s="91"/>
      <c r="F26" s="87"/>
      <c r="G26" s="88"/>
      <c r="H26" s="86" t="s">
        <v>176</v>
      </c>
      <c r="I26" s="87"/>
      <c r="J26" s="88"/>
      <c r="K26" s="86" t="s">
        <v>187</v>
      </c>
      <c r="L26" s="87"/>
      <c r="M26" s="88"/>
      <c r="N26" s="86" t="s">
        <v>194</v>
      </c>
      <c r="O26" s="87"/>
      <c r="P26" s="88"/>
      <c r="Q26" s="86"/>
      <c r="R26" s="87"/>
      <c r="S26" s="88"/>
      <c r="T26" s="86" t="s">
        <v>200</v>
      </c>
      <c r="U26" s="87"/>
      <c r="V26" s="88"/>
    </row>
    <row r="27" spans="2:22" ht="12.75">
      <c r="B27" s="86"/>
      <c r="C27" s="87"/>
      <c r="D27" s="88"/>
      <c r="E27" s="91"/>
      <c r="F27" s="87"/>
      <c r="G27" s="88"/>
      <c r="H27" s="91"/>
      <c r="I27" s="87"/>
      <c r="J27" s="88"/>
      <c r="K27" s="91"/>
      <c r="L27" s="87"/>
      <c r="M27" s="88"/>
      <c r="N27" s="91"/>
      <c r="O27" s="87"/>
      <c r="P27" s="88"/>
      <c r="Q27" s="86"/>
      <c r="R27" s="87"/>
      <c r="S27" s="88"/>
      <c r="T27" s="86" t="s">
        <v>201</v>
      </c>
      <c r="U27" s="87"/>
      <c r="V27" s="88"/>
    </row>
    <row r="28" spans="2:22" ht="12.75">
      <c r="B28" s="110"/>
      <c r="C28" s="111"/>
      <c r="D28" s="111"/>
      <c r="E28" s="109"/>
      <c r="F28" s="111"/>
      <c r="G28" s="111"/>
      <c r="H28" s="109"/>
      <c r="I28" s="111"/>
      <c r="J28" s="111"/>
      <c r="K28" s="109"/>
      <c r="L28" s="111"/>
      <c r="M28" s="111"/>
      <c r="N28" s="109"/>
      <c r="O28" s="111"/>
      <c r="P28" s="111"/>
      <c r="Q28" s="110"/>
      <c r="R28" s="111"/>
      <c r="S28" s="111"/>
      <c r="T28" s="110"/>
      <c r="U28" s="111"/>
      <c r="V28" s="111"/>
    </row>
    <row r="29" spans="1:9" ht="12.75">
      <c r="A29" s="1"/>
      <c r="B29" s="11"/>
      <c r="C29" s="14"/>
      <c r="D29" s="14"/>
      <c r="E29" s="14"/>
      <c r="F29" s="14"/>
      <c r="G29" s="14"/>
      <c r="H29" s="14"/>
      <c r="I29" s="14"/>
    </row>
    <row r="30" spans="1:9" ht="12.75">
      <c r="A30" s="9"/>
      <c r="B30" s="139"/>
      <c r="C30" s="14"/>
      <c r="D30" s="14"/>
      <c r="E30" s="14"/>
      <c r="F30" s="14"/>
      <c r="G30" s="14"/>
      <c r="H30" s="14"/>
      <c r="I30" s="14"/>
    </row>
    <row r="31" spans="1:11" ht="12.75">
      <c r="A31" s="96"/>
      <c r="B31" s="42" t="s">
        <v>67</v>
      </c>
      <c r="C31" s="238" t="s">
        <v>62</v>
      </c>
      <c r="D31" s="200"/>
      <c r="E31" s="200"/>
      <c r="F31" s="200"/>
      <c r="G31" s="200"/>
      <c r="H31" s="200"/>
      <c r="I31" s="200"/>
      <c r="J31" s="201"/>
      <c r="K31" s="23" t="s">
        <v>68</v>
      </c>
    </row>
    <row r="32" spans="2:11" ht="12.75">
      <c r="B32" s="106"/>
      <c r="C32" s="23"/>
      <c r="D32" s="23" t="s">
        <v>99</v>
      </c>
      <c r="E32" s="23" t="s">
        <v>100</v>
      </c>
      <c r="F32" s="23" t="s">
        <v>101</v>
      </c>
      <c r="G32" s="23" t="s">
        <v>102</v>
      </c>
      <c r="H32" s="23" t="s">
        <v>103</v>
      </c>
      <c r="I32" s="23" t="s">
        <v>104</v>
      </c>
      <c r="J32" s="23" t="s">
        <v>105</v>
      </c>
      <c r="K32" s="23"/>
    </row>
    <row r="34" spans="1:11" ht="12.75">
      <c r="A34" s="112">
        <v>1</v>
      </c>
      <c r="B34" s="43" t="s">
        <v>70</v>
      </c>
      <c r="C34" s="102" t="s">
        <v>85</v>
      </c>
      <c r="D34" s="20">
        <v>3.5</v>
      </c>
      <c r="E34" s="20">
        <v>5</v>
      </c>
      <c r="F34" s="20">
        <v>1.5</v>
      </c>
      <c r="G34" s="20">
        <v>3</v>
      </c>
      <c r="H34" s="20"/>
      <c r="I34" s="20"/>
      <c r="J34" s="95"/>
      <c r="K34" s="26">
        <v>13</v>
      </c>
    </row>
    <row r="35" spans="1:11" ht="12.75">
      <c r="A35" s="112">
        <v>2</v>
      </c>
      <c r="B35" s="43" t="s">
        <v>71</v>
      </c>
      <c r="C35" s="102" t="s">
        <v>85</v>
      </c>
      <c r="D35" s="20">
        <v>6.5</v>
      </c>
      <c r="E35" s="20">
        <v>4.5</v>
      </c>
      <c r="F35" s="20">
        <v>4.5</v>
      </c>
      <c r="G35" s="20">
        <v>3</v>
      </c>
      <c r="H35" s="20"/>
      <c r="I35" s="20"/>
      <c r="J35" s="95"/>
      <c r="K35" s="26">
        <v>18.5</v>
      </c>
    </row>
    <row r="36" spans="1:11" ht="12.75">
      <c r="A36" s="112">
        <v>3</v>
      </c>
      <c r="B36" s="43" t="s">
        <v>72</v>
      </c>
      <c r="C36" s="102" t="s">
        <v>85</v>
      </c>
      <c r="D36" s="20">
        <v>2.5</v>
      </c>
      <c r="E36" s="20">
        <v>5</v>
      </c>
      <c r="F36" s="20">
        <v>6.5</v>
      </c>
      <c r="G36" s="20">
        <v>6.5</v>
      </c>
      <c r="H36" s="20"/>
      <c r="I36" s="20"/>
      <c r="J36" s="95"/>
      <c r="K36" s="26">
        <v>20.5</v>
      </c>
    </row>
    <row r="37" spans="1:11" ht="12.75">
      <c r="A37" s="112">
        <v>4</v>
      </c>
      <c r="B37" s="43" t="s">
        <v>73</v>
      </c>
      <c r="C37" s="102" t="s">
        <v>85</v>
      </c>
      <c r="D37" s="20">
        <v>5.5</v>
      </c>
      <c r="E37" s="20">
        <v>4.5</v>
      </c>
      <c r="F37" s="20">
        <v>0</v>
      </c>
      <c r="G37" s="20">
        <v>4.5</v>
      </c>
      <c r="H37" s="20"/>
      <c r="I37" s="20"/>
      <c r="J37" s="95"/>
      <c r="K37" s="26">
        <v>14.5</v>
      </c>
    </row>
    <row r="38" spans="1:11" ht="12.75">
      <c r="A38" s="112">
        <v>5</v>
      </c>
      <c r="B38" s="43" t="s">
        <v>74</v>
      </c>
      <c r="C38" s="102" t="s">
        <v>85</v>
      </c>
      <c r="D38" s="20">
        <v>4</v>
      </c>
      <c r="E38" s="20">
        <v>4</v>
      </c>
      <c r="F38" s="20">
        <v>6</v>
      </c>
      <c r="G38" s="20">
        <v>4</v>
      </c>
      <c r="H38" s="20"/>
      <c r="I38" s="20"/>
      <c r="J38" s="95"/>
      <c r="K38" s="26">
        <v>18</v>
      </c>
    </row>
    <row r="39" spans="1:11" ht="12.75">
      <c r="A39" s="112">
        <v>6</v>
      </c>
      <c r="B39" s="43" t="s">
        <v>75</v>
      </c>
      <c r="C39" s="102" t="s">
        <v>85</v>
      </c>
      <c r="D39" s="20">
        <v>0</v>
      </c>
      <c r="E39" s="20">
        <v>3</v>
      </c>
      <c r="F39" s="20">
        <v>9</v>
      </c>
      <c r="G39" s="20">
        <v>4.5</v>
      </c>
      <c r="H39" s="20"/>
      <c r="I39" s="20"/>
      <c r="J39" s="95"/>
      <c r="K39" s="26">
        <v>16.5</v>
      </c>
    </row>
    <row r="40" spans="1:11" ht="12.75">
      <c r="A40" s="112">
        <v>7</v>
      </c>
      <c r="B40" s="43" t="s">
        <v>76</v>
      </c>
      <c r="C40" s="102" t="s">
        <v>85</v>
      </c>
      <c r="D40" s="20">
        <v>6</v>
      </c>
      <c r="E40" s="20">
        <v>4</v>
      </c>
      <c r="F40" s="20">
        <v>0</v>
      </c>
      <c r="G40" s="20">
        <v>6</v>
      </c>
      <c r="H40" s="20"/>
      <c r="I40" s="20"/>
      <c r="J40" s="95"/>
      <c r="K40" s="26">
        <v>16</v>
      </c>
    </row>
    <row r="41" spans="1:11" ht="12.75">
      <c r="A41" s="112">
        <v>8</v>
      </c>
      <c r="B41" s="43" t="s">
        <v>77</v>
      </c>
      <c r="C41" s="102" t="s">
        <v>85</v>
      </c>
      <c r="D41" s="20">
        <v>6</v>
      </c>
      <c r="E41" s="20">
        <v>7</v>
      </c>
      <c r="F41" s="20">
        <v>4.5</v>
      </c>
      <c r="G41" s="20">
        <v>6</v>
      </c>
      <c r="H41" s="20"/>
      <c r="I41" s="20"/>
      <c r="J41" s="95"/>
      <c r="K41" s="26">
        <v>23.5</v>
      </c>
    </row>
    <row r="42" spans="1:11" ht="12.75">
      <c r="A42" s="112">
        <v>9</v>
      </c>
      <c r="B42" s="43" t="s">
        <v>78</v>
      </c>
      <c r="C42" s="102" t="s">
        <v>85</v>
      </c>
      <c r="D42" s="20">
        <v>3</v>
      </c>
      <c r="E42" s="20">
        <v>5.5</v>
      </c>
      <c r="F42" s="20">
        <v>7.5</v>
      </c>
      <c r="G42" s="20">
        <v>5</v>
      </c>
      <c r="H42" s="20"/>
      <c r="I42" s="20"/>
      <c r="J42" s="95"/>
      <c r="K42" s="26">
        <v>21</v>
      </c>
    </row>
    <row r="43" spans="1:11" ht="12.75">
      <c r="A43" s="112">
        <v>10</v>
      </c>
      <c r="B43" s="43" t="s">
        <v>79</v>
      </c>
      <c r="C43" s="102" t="s">
        <v>85</v>
      </c>
      <c r="D43" s="20">
        <v>5</v>
      </c>
      <c r="E43" s="20">
        <v>3.5</v>
      </c>
      <c r="F43" s="20">
        <v>0</v>
      </c>
      <c r="G43" s="20">
        <v>0</v>
      </c>
      <c r="H43" s="20"/>
      <c r="I43" s="20"/>
      <c r="J43" s="95"/>
      <c r="K43" s="26">
        <v>8.5</v>
      </c>
    </row>
    <row r="44" spans="1:11" ht="12.75">
      <c r="A44" s="112">
        <v>11</v>
      </c>
      <c r="B44" s="43" t="s">
        <v>80</v>
      </c>
      <c r="C44" s="102" t="s">
        <v>85</v>
      </c>
      <c r="D44" s="20">
        <v>6</v>
      </c>
      <c r="E44" s="20">
        <v>2</v>
      </c>
      <c r="F44" s="20">
        <v>2.5</v>
      </c>
      <c r="G44" s="20">
        <v>6</v>
      </c>
      <c r="H44" s="20"/>
      <c r="I44" s="20"/>
      <c r="J44" s="95"/>
      <c r="K44" s="26">
        <v>16.5</v>
      </c>
    </row>
    <row r="45" spans="1:11" ht="12.75">
      <c r="A45" s="112">
        <v>12</v>
      </c>
      <c r="B45" s="43" t="s">
        <v>69</v>
      </c>
      <c r="C45" s="102" t="s">
        <v>85</v>
      </c>
      <c r="D45" s="20">
        <v>3</v>
      </c>
      <c r="E45" s="20">
        <v>6</v>
      </c>
      <c r="F45" s="20">
        <v>3</v>
      </c>
      <c r="G45" s="20">
        <v>3</v>
      </c>
      <c r="H45" s="20"/>
      <c r="I45" s="20"/>
      <c r="J45" s="95"/>
      <c r="K45" s="26">
        <v>15</v>
      </c>
    </row>
    <row r="46" spans="1:11" ht="12.75">
      <c r="A46" s="112">
        <v>13</v>
      </c>
      <c r="B46" s="160"/>
      <c r="C46" s="161"/>
      <c r="D46" s="162"/>
      <c r="E46" s="162"/>
      <c r="F46" s="162"/>
      <c r="G46" s="162"/>
      <c r="H46" s="162"/>
      <c r="I46" s="162"/>
      <c r="J46" s="163"/>
      <c r="K46" s="164"/>
    </row>
    <row r="47" spans="1:11" ht="12.75">
      <c r="A47" s="112">
        <v>14</v>
      </c>
      <c r="B47" s="160"/>
      <c r="C47" s="161"/>
      <c r="D47" s="162"/>
      <c r="E47" s="162"/>
      <c r="F47" s="162"/>
      <c r="G47" s="162"/>
      <c r="H47" s="162"/>
      <c r="I47" s="162"/>
      <c r="J47" s="163"/>
      <c r="K47" s="164"/>
    </row>
    <row r="48" spans="2:12" ht="12.75">
      <c r="B48" s="21"/>
      <c r="C48" s="13"/>
      <c r="D48" s="13"/>
      <c r="E48" s="13"/>
      <c r="F48" s="13"/>
      <c r="G48" s="13"/>
      <c r="H48" s="13"/>
      <c r="I48" s="13"/>
      <c r="J48" s="49"/>
      <c r="K48" s="46"/>
      <c r="L48" s="46"/>
    </row>
    <row r="49" spans="2:12" ht="12.75">
      <c r="B49" s="21"/>
      <c r="C49" s="13"/>
      <c r="D49" s="13"/>
      <c r="E49" s="13"/>
      <c r="F49" s="13"/>
      <c r="G49" s="13"/>
      <c r="H49" s="13"/>
      <c r="I49" s="13"/>
      <c r="J49" s="48"/>
      <c r="K49" s="46"/>
      <c r="L49" s="46"/>
    </row>
    <row r="50" spans="2:12" ht="12.75">
      <c r="B50" s="21"/>
      <c r="C50" s="13"/>
      <c r="D50" s="13"/>
      <c r="E50" s="13"/>
      <c r="F50" s="13"/>
      <c r="G50" s="13"/>
      <c r="H50" s="13"/>
      <c r="I50" s="13"/>
      <c r="J50" s="48"/>
      <c r="K50" s="46"/>
      <c r="L50" s="46"/>
    </row>
    <row r="51" spans="1:12" ht="18.75">
      <c r="A51" s="46"/>
      <c r="B51" s="208" t="s">
        <v>239</v>
      </c>
      <c r="C51" s="200"/>
      <c r="D51" s="200"/>
      <c r="E51" s="200"/>
      <c r="F51" s="200"/>
      <c r="G51" s="200"/>
      <c r="H51" s="201"/>
      <c r="I51" s="59"/>
      <c r="J51" s="47"/>
      <c r="K51" s="46"/>
      <c r="L51" s="46"/>
    </row>
    <row r="52" spans="1:12" ht="18">
      <c r="A52" s="97"/>
      <c r="B52" s="28"/>
      <c r="C52" s="28"/>
      <c r="D52" s="28"/>
      <c r="E52" s="28"/>
      <c r="F52" s="28"/>
      <c r="G52" s="28"/>
      <c r="H52" s="28"/>
      <c r="I52" s="28"/>
      <c r="J52" s="46"/>
      <c r="K52" s="46"/>
      <c r="L52" s="46"/>
    </row>
    <row r="53" spans="1:12" ht="18">
      <c r="A53" s="51"/>
      <c r="B53" s="58" t="s">
        <v>86</v>
      </c>
      <c r="C53" s="206" t="s">
        <v>61</v>
      </c>
      <c r="D53" s="237"/>
      <c r="E53" s="237"/>
      <c r="F53" s="237"/>
      <c r="G53" s="237"/>
      <c r="H53" s="114" t="s">
        <v>62</v>
      </c>
      <c r="I53" s="28"/>
      <c r="K53" s="46"/>
      <c r="L53" s="46"/>
    </row>
    <row r="54" spans="1:12" ht="15.75">
      <c r="A54" s="51"/>
      <c r="B54" s="62">
        <v>1</v>
      </c>
      <c r="C54" s="53" t="s">
        <v>204</v>
      </c>
      <c r="D54" s="56"/>
      <c r="E54" s="56"/>
      <c r="F54" s="56"/>
      <c r="G54" s="55"/>
      <c r="H54" s="116">
        <v>23.5</v>
      </c>
      <c r="I54" s="52">
        <v>1</v>
      </c>
      <c r="K54" s="46"/>
      <c r="L54" s="46"/>
    </row>
    <row r="55" spans="1:12" ht="15.75">
      <c r="A55" s="46"/>
      <c r="B55" s="62">
        <v>2</v>
      </c>
      <c r="C55" s="53" t="s">
        <v>205</v>
      </c>
      <c r="D55" s="56"/>
      <c r="E55" s="56"/>
      <c r="F55" s="56"/>
      <c r="G55" s="55"/>
      <c r="H55" s="116">
        <v>21</v>
      </c>
      <c r="I55" s="52">
        <v>2</v>
      </c>
      <c r="K55" s="46"/>
      <c r="L55" s="46"/>
    </row>
    <row r="56" spans="1:12" ht="15.75">
      <c r="A56" s="46"/>
      <c r="B56" s="62">
        <v>3</v>
      </c>
      <c r="C56" s="53" t="s">
        <v>206</v>
      </c>
      <c r="D56" s="56"/>
      <c r="E56" s="56"/>
      <c r="F56" s="56"/>
      <c r="G56" s="55"/>
      <c r="H56" s="116">
        <v>20.5</v>
      </c>
      <c r="I56" s="52">
        <v>3</v>
      </c>
      <c r="K56" s="46"/>
      <c r="L56" s="46"/>
    </row>
    <row r="57" spans="1:12" ht="15.75">
      <c r="A57" s="46"/>
      <c r="B57" s="62">
        <v>4</v>
      </c>
      <c r="C57" s="53" t="s">
        <v>207</v>
      </c>
      <c r="D57" s="56"/>
      <c r="E57" s="56"/>
      <c r="F57" s="56"/>
      <c r="G57" s="55"/>
      <c r="H57" s="116">
        <v>18.5</v>
      </c>
      <c r="I57" s="52">
        <v>4</v>
      </c>
      <c r="K57" s="46"/>
      <c r="L57" s="46"/>
    </row>
    <row r="58" spans="1:12" ht="15.75">
      <c r="A58" s="46"/>
      <c r="B58" s="62">
        <v>5</v>
      </c>
      <c r="C58" s="53" t="s">
        <v>208</v>
      </c>
      <c r="D58" s="56"/>
      <c r="E58" s="56"/>
      <c r="F58" s="56"/>
      <c r="G58" s="55"/>
      <c r="H58" s="116">
        <v>18</v>
      </c>
      <c r="I58" s="52">
        <v>5</v>
      </c>
      <c r="K58" s="46"/>
      <c r="L58" s="46"/>
    </row>
    <row r="59" spans="1:12" ht="15.75">
      <c r="A59" s="46"/>
      <c r="B59" s="62" t="s">
        <v>209</v>
      </c>
      <c r="C59" s="53" t="s">
        <v>210</v>
      </c>
      <c r="D59" s="56"/>
      <c r="E59" s="56"/>
      <c r="F59" s="56"/>
      <c r="G59" s="55"/>
      <c r="H59" s="116">
        <v>16.5</v>
      </c>
      <c r="I59" s="52">
        <v>6</v>
      </c>
      <c r="K59" s="46"/>
      <c r="L59" s="46"/>
    </row>
    <row r="60" spans="1:12" ht="15.75">
      <c r="A60" s="46"/>
      <c r="B60" s="62" t="s">
        <v>209</v>
      </c>
      <c r="C60" s="53" t="s">
        <v>211</v>
      </c>
      <c r="D60" s="56"/>
      <c r="E60" s="56"/>
      <c r="F60" s="56"/>
      <c r="G60" s="55"/>
      <c r="H60" s="116">
        <v>16.5</v>
      </c>
      <c r="I60" s="52">
        <v>7</v>
      </c>
      <c r="K60" s="46"/>
      <c r="L60" s="46"/>
    </row>
    <row r="61" spans="1:12" ht="15.75">
      <c r="A61" s="46"/>
      <c r="B61" s="62">
        <v>8</v>
      </c>
      <c r="C61" s="53" t="s">
        <v>212</v>
      </c>
      <c r="D61" s="56"/>
      <c r="E61" s="56"/>
      <c r="F61" s="56"/>
      <c r="G61" s="55"/>
      <c r="H61" s="116">
        <v>16</v>
      </c>
      <c r="I61" s="52">
        <v>8</v>
      </c>
      <c r="K61" s="46"/>
      <c r="L61" s="46"/>
    </row>
    <row r="62" spans="1:12" ht="15.75">
      <c r="A62" s="46"/>
      <c r="B62" s="62">
        <v>9</v>
      </c>
      <c r="C62" s="53" t="s">
        <v>213</v>
      </c>
      <c r="D62" s="56"/>
      <c r="E62" s="56"/>
      <c r="F62" s="56"/>
      <c r="G62" s="55"/>
      <c r="H62" s="116">
        <v>15</v>
      </c>
      <c r="I62" s="52">
        <v>9</v>
      </c>
      <c r="K62" s="46"/>
      <c r="L62" s="46"/>
    </row>
    <row r="63" spans="1:12" ht="15.75">
      <c r="A63" s="46"/>
      <c r="B63" s="62">
        <v>10</v>
      </c>
      <c r="C63" s="53" t="s">
        <v>214</v>
      </c>
      <c r="D63" s="56"/>
      <c r="E63" s="56"/>
      <c r="F63" s="56"/>
      <c r="G63" s="55"/>
      <c r="H63" s="116">
        <v>14.5</v>
      </c>
      <c r="I63" s="52">
        <v>10</v>
      </c>
      <c r="K63" s="46"/>
      <c r="L63" s="46"/>
    </row>
    <row r="64" spans="2:9" ht="15.75">
      <c r="B64" s="62">
        <v>11</v>
      </c>
      <c r="C64" s="53" t="s">
        <v>215</v>
      </c>
      <c r="D64" s="56"/>
      <c r="E64" s="56"/>
      <c r="F64" s="56"/>
      <c r="G64" s="55"/>
      <c r="H64" s="116">
        <v>13</v>
      </c>
      <c r="I64" s="52">
        <v>11</v>
      </c>
    </row>
    <row r="65" spans="2:9" ht="15.75">
      <c r="B65" s="62">
        <v>12</v>
      </c>
      <c r="C65" s="53" t="s">
        <v>216</v>
      </c>
      <c r="D65" s="56"/>
      <c r="E65" s="56"/>
      <c r="F65" s="56"/>
      <c r="G65" s="55"/>
      <c r="H65" s="116">
        <v>8.5</v>
      </c>
      <c r="I65" s="52">
        <v>12</v>
      </c>
    </row>
    <row r="66" spans="2:9" ht="15.75">
      <c r="B66" s="157"/>
      <c r="C66" s="158"/>
      <c r="D66" s="59"/>
      <c r="E66" s="59"/>
      <c r="F66" s="59"/>
      <c r="G66" s="59"/>
      <c r="H66" s="165">
        <v>-1</v>
      </c>
      <c r="I66" s="52">
        <v>13</v>
      </c>
    </row>
    <row r="67" spans="2:9" ht="15.75">
      <c r="B67" s="157"/>
      <c r="C67" s="158"/>
      <c r="D67" s="59"/>
      <c r="E67" s="59"/>
      <c r="F67" s="59"/>
      <c r="G67" s="59"/>
      <c r="H67" s="159"/>
      <c r="I67" s="52">
        <v>14</v>
      </c>
    </row>
    <row r="82" ht="12.75">
      <c r="B82" s="18"/>
    </row>
    <row r="83" ht="12.75">
      <c r="B83" s="18"/>
    </row>
  </sheetData>
  <mergeCells count="5">
    <mergeCell ref="B3:I3"/>
    <mergeCell ref="C53:G53"/>
    <mergeCell ref="C31:J31"/>
    <mergeCell ref="B51:H51"/>
    <mergeCell ref="B18:V18"/>
  </mergeCells>
  <printOptions horizontalCentered="1" verticalCentered="1"/>
  <pageMargins left="0.75" right="0.75" top="1" bottom="1" header="0.5" footer="0.5"/>
  <pageSetup horizontalDpi="300" verticalDpi="300" orientation="landscape" r:id="rId2"/>
  <headerFooter alignWithMargins="0">
    <oddHeader>&amp;C&amp;24Romano Golf League</oddHeader>
    <oddFooter>&amp;C&amp;D</oddFooter>
  </headerFooter>
  <drawing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Z72"/>
  <sheetViews>
    <sheetView showGridLines="0" showRowColHeaders="0" workbookViewId="0" topLeftCell="A1">
      <selection activeCell="D12" sqref="D12"/>
    </sheetView>
  </sheetViews>
  <sheetFormatPr defaultColWidth="9.140625" defaultRowHeight="12.75"/>
  <cols>
    <col min="1" max="1" width="7.140625" style="0" customWidth="1"/>
    <col min="2" max="2" width="7.00390625" style="0" customWidth="1"/>
    <col min="3" max="3" width="23.7109375" style="0" customWidth="1"/>
    <col min="4" max="13" width="9.28125" style="0" customWidth="1"/>
    <col min="14" max="14" width="9.140625" style="63" customWidth="1"/>
  </cols>
  <sheetData>
    <row r="1" spans="1:13" ht="15" customHeight="1">
      <c r="A1" s="219" t="s">
        <v>9</v>
      </c>
      <c r="B1" s="220"/>
      <c r="C1" s="220"/>
      <c r="D1" s="220"/>
      <c r="E1" s="220"/>
      <c r="F1" s="220"/>
      <c r="G1" s="220"/>
      <c r="H1" s="220"/>
      <c r="I1" s="220"/>
      <c r="J1" s="220"/>
      <c r="K1" s="220"/>
      <c r="L1" s="220"/>
      <c r="M1" s="221"/>
    </row>
    <row r="2" spans="1:13" ht="15" customHeight="1">
      <c r="A2" s="222" t="str">
        <f>"Romano Golf League - "&amp;N6&amp;" - "&amp;N8&amp;" - "&amp;TEXT(N7,"MMM dd, yyyy")</f>
        <v>Romano Golf League - Week 7 - FRONT - Aug 02, 2006</v>
      </c>
      <c r="B2" s="223"/>
      <c r="C2" s="223"/>
      <c r="D2" s="223"/>
      <c r="E2" s="223"/>
      <c r="F2" s="223"/>
      <c r="G2" s="223"/>
      <c r="H2" s="223"/>
      <c r="I2" s="223"/>
      <c r="J2" s="223"/>
      <c r="K2" s="223"/>
      <c r="L2" s="223"/>
      <c r="M2" s="224"/>
    </row>
    <row r="3" spans="1:13" ht="10.5" customHeight="1">
      <c r="A3" s="227"/>
      <c r="B3" s="227"/>
      <c r="C3" s="227"/>
      <c r="D3" s="227"/>
      <c r="E3" s="227"/>
      <c r="F3" s="227"/>
      <c r="G3" s="227"/>
      <c r="H3" s="227"/>
      <c r="I3" s="227"/>
      <c r="J3" s="227"/>
      <c r="K3" s="227"/>
      <c r="L3" s="227"/>
      <c r="M3" s="227"/>
    </row>
    <row r="4" spans="1:17" ht="14.25" customHeight="1">
      <c r="A4" s="228" t="s">
        <v>10</v>
      </c>
      <c r="B4" s="228"/>
      <c r="C4" s="228"/>
      <c r="D4" s="77">
        <f>IF(LEFT($N$8)="F",1,IF(LEFT($N$8)="B",10,"ERROR"))</f>
        <v>1</v>
      </c>
      <c r="E4" s="77">
        <f>IF(LEFT($N$8)="F",2,IF(LEFT($N$8)="B",11,"ERROR"))</f>
        <v>2</v>
      </c>
      <c r="F4" s="77">
        <f>IF(LEFT($N$8)="F",3,IF(LEFT($N$8)="B",12,"ERROR"))</f>
        <v>3</v>
      </c>
      <c r="G4" s="77">
        <f>IF(LEFT($N$8)="F",4,IF(LEFT($N$8)="B",13,"ERROR"))</f>
        <v>4</v>
      </c>
      <c r="H4" s="77">
        <f>IF(LEFT($N$8)="F",5,IF(LEFT($N$8)="B",14,"ERROR"))</f>
        <v>5</v>
      </c>
      <c r="I4" s="77">
        <f>IF(LEFT($N$8)="F",6,IF(LEFT($N$8)="B",15,"ERROR"))</f>
        <v>6</v>
      </c>
      <c r="J4" s="77">
        <f>IF(LEFT($N$8)="F",7,IF(LEFT($N$8)="B",16,"ERROR"))</f>
        <v>7</v>
      </c>
      <c r="K4" s="77">
        <f>IF(LEFT($N$8)="F",8,IF(LEFT($N$8)="B",17,"ERROR"))</f>
        <v>8</v>
      </c>
      <c r="L4" s="77">
        <f>IF(LEFT($N$8)="F",9,IF(LEFT($N$8)="B",18,"ERROR"))</f>
        <v>9</v>
      </c>
      <c r="M4" s="77" t="str">
        <f>IF(LEFT($N$8)="F","OUT",IF(LEFT($N$8)="B","IN","ERROR"))</f>
        <v>OUT</v>
      </c>
      <c r="O4" s="9"/>
      <c r="P4" s="66">
        <v>0.1875</v>
      </c>
      <c r="Q4" s="9" t="s">
        <v>18</v>
      </c>
    </row>
    <row r="5" spans="1:17" ht="16.5" customHeight="1">
      <c r="A5" s="229" t="s">
        <v>11</v>
      </c>
      <c r="B5" s="229"/>
      <c r="C5" s="229"/>
      <c r="D5" s="78">
        <f>IF(D4=1,460,IF(D4=10,345,"ERROR"))</f>
        <v>460</v>
      </c>
      <c r="E5" s="78">
        <f>IF(E4=2,275,IF(E4=11,220,"ERROR"))</f>
        <v>275</v>
      </c>
      <c r="F5" s="78">
        <f>IF(F4=3,525,IF(F4=12,330,"ERROR"))</f>
        <v>525</v>
      </c>
      <c r="G5" s="78">
        <f>IF(G4=4,295,IF(G4=13,435,"ERROR"))</f>
        <v>295</v>
      </c>
      <c r="H5" s="78">
        <f>IF(H4=5,345,IF(H4=14,145,"ERROR"))</f>
        <v>345</v>
      </c>
      <c r="I5" s="78">
        <f>IF(I4=6,175,IF(I4=15,315,"ERROR"))</f>
        <v>175</v>
      </c>
      <c r="J5" s="78">
        <f>IF(J4=7,405,IF(J4=16,130,"ERROR"))</f>
        <v>405</v>
      </c>
      <c r="K5" s="78">
        <f>IF(K4=8,145,IF(K4=17,300,"ERROR"))</f>
        <v>145</v>
      </c>
      <c r="L5" s="78">
        <f>IF(L4=9,320,IF(L4=18,340,"ERROR"))</f>
        <v>320</v>
      </c>
      <c r="M5" s="78">
        <f>SUM(D5:L5)</f>
        <v>2945</v>
      </c>
      <c r="O5" s="9"/>
      <c r="P5" s="66">
        <v>0.19305555555555554</v>
      </c>
      <c r="Q5" s="9" t="s">
        <v>19</v>
      </c>
    </row>
    <row r="6" spans="1:17" ht="15.75" customHeight="1">
      <c r="A6" s="216" t="s">
        <v>17</v>
      </c>
      <c r="B6" s="216"/>
      <c r="C6" s="216"/>
      <c r="D6" s="78">
        <f>IF(D$4=1,5,IF(D$4=10,5,"ERROR"))</f>
        <v>5</v>
      </c>
      <c r="E6" s="78">
        <f>IF(E4=2,4,IF(E4=11,4,"ERROR"))</f>
        <v>4</v>
      </c>
      <c r="F6" s="78">
        <f>IF(F4=3,5,IF(F4=12,4,"ERROR"))</f>
        <v>5</v>
      </c>
      <c r="G6" s="78">
        <f>IF(G4=4,4,IF(G4=13,5,"ERROR"))</f>
        <v>4</v>
      </c>
      <c r="H6" s="78">
        <f>IF(H4=5,4,IF(H4=14,3,"ERROR"))</f>
        <v>4</v>
      </c>
      <c r="I6" s="78">
        <f>IF(I4=6,3,IF(I4=15,4,"ERROR"))</f>
        <v>3</v>
      </c>
      <c r="J6" s="78">
        <f>IF(J4=7,4,IF(J4=16,3,"ERROR"))</f>
        <v>4</v>
      </c>
      <c r="K6" s="78">
        <f>IF(K4=8,3,IF(K4=17,4,"ERROR"))</f>
        <v>3</v>
      </c>
      <c r="L6" s="78">
        <f>IF(L4=9,4,IF(L4=18,4,"ERROR"))</f>
        <v>4</v>
      </c>
      <c r="M6" s="78">
        <f>SUM(D6:L6)</f>
        <v>36</v>
      </c>
      <c r="N6" s="9" t="s">
        <v>24</v>
      </c>
      <c r="O6" s="9"/>
      <c r="P6" s="66">
        <v>0.198611111111111</v>
      </c>
      <c r="Q6" s="9" t="s">
        <v>20</v>
      </c>
    </row>
    <row r="7" spans="1:17" ht="15.75" customHeight="1">
      <c r="A7" s="225" t="s">
        <v>16</v>
      </c>
      <c r="B7" s="226"/>
      <c r="C7" s="226"/>
      <c r="D7" s="79">
        <f>IF(D$4=1,5,IF(D$4=10,6,"ERROR"))</f>
        <v>5</v>
      </c>
      <c r="E7" s="79">
        <f>IF(E4=2,7,IF(E4=11,10,"ERROR"))</f>
        <v>7</v>
      </c>
      <c r="F7" s="79">
        <f>IF(F4=3,3,IF(F4=12,8,"ERROR"))</f>
        <v>3</v>
      </c>
      <c r="G7" s="79">
        <f>IF(G4=4,9,IF(G4=13,4,"ERROR"))</f>
        <v>9</v>
      </c>
      <c r="H7" s="79">
        <f>IF(H4=5,11,IF(H4=14,16,"ERROR"))</f>
        <v>11</v>
      </c>
      <c r="I7" s="79">
        <f>IF(I4=6,17,IF(I4=15,12,"ERROR"))</f>
        <v>17</v>
      </c>
      <c r="J7" s="79">
        <f>IF(J4=7,1,IF(J4=16,18,"ERROR"))</f>
        <v>1</v>
      </c>
      <c r="K7" s="79">
        <f>IF(K4=8,15,IF(K4=17,14,"ERROR"))</f>
        <v>15</v>
      </c>
      <c r="L7" s="79">
        <f>IF(L4=9,13,IF(L4=18,2,"ERROR"))</f>
        <v>13</v>
      </c>
      <c r="M7" s="80"/>
      <c r="N7" s="15">
        <f>HLOOKUP(N6,'SCHEDULE &amp; POINTS'!C4:I6,2)</f>
        <v>38931</v>
      </c>
      <c r="O7" s="9"/>
      <c r="P7" s="66">
        <v>0.204166666666667</v>
      </c>
      <c r="Q7" s="9" t="s">
        <v>21</v>
      </c>
    </row>
    <row r="8" spans="1:17" ht="15.75" customHeight="1">
      <c r="A8" s="213" t="s">
        <v>12</v>
      </c>
      <c r="B8" s="213"/>
      <c r="C8" s="213"/>
      <c r="D8" s="75">
        <f>IF(D4=1,375,IF(D4=10,290,"ERROR"))</f>
        <v>375</v>
      </c>
      <c r="E8" s="75">
        <f>IF(E4=2,250,IF(E4=11,200,"ERROR"))</f>
        <v>250</v>
      </c>
      <c r="F8" s="75">
        <f>IF(F4=3,475,IF(F4=12,205,"ERROR"))</f>
        <v>475</v>
      </c>
      <c r="G8" s="75">
        <f>IF(G4=4,255,IF(G4=13,350,"ERROR"))</f>
        <v>255</v>
      </c>
      <c r="H8" s="75">
        <f>IF(H4=5,325,IF(H4=14,140,"ERROR"))</f>
        <v>325</v>
      </c>
      <c r="I8" s="75">
        <f>IF(I4=6,155,IF(I4=15,290,"ERROR"))</f>
        <v>155</v>
      </c>
      <c r="J8" s="75">
        <f>IF(J4=7,375,IF(J4=16,125,"ERROR"))</f>
        <v>375</v>
      </c>
      <c r="K8" s="75">
        <f>IF(K4=8,130,IF(K4=17,255,"ERROR"))</f>
        <v>130</v>
      </c>
      <c r="L8" s="75">
        <f>IF(L4=9,290,IF(L4=18,280,"ERROR"))</f>
        <v>290</v>
      </c>
      <c r="M8" s="76">
        <f>SUM(D8:L8)</f>
        <v>2630</v>
      </c>
      <c r="N8" s="16" t="str">
        <f>HLOOKUP(N6,'SCHEDULE &amp; POINTS'!C4:I6,3)</f>
        <v>FRONT</v>
      </c>
      <c r="O8" s="9"/>
      <c r="P8" s="66">
        <v>0.209722222222222</v>
      </c>
      <c r="Q8" s="9" t="s">
        <v>22</v>
      </c>
    </row>
    <row r="9" spans="1:17" ht="15.75" customHeight="1">
      <c r="A9" s="216" t="s">
        <v>15</v>
      </c>
      <c r="B9" s="216"/>
      <c r="C9" s="216"/>
      <c r="D9" s="78">
        <f>IF(D$4=1,5,IF(D$4=10,4,"ERROR"))</f>
        <v>5</v>
      </c>
      <c r="E9" s="78">
        <f>IF(E$4=2,4,IF(E$4=11,4,"ERROR"))</f>
        <v>4</v>
      </c>
      <c r="F9" s="78">
        <f>IF(F$4=3,5,IF(F$4=12,4,"ERROR"))</f>
        <v>5</v>
      </c>
      <c r="G9" s="78">
        <f>IF(G$4=4,4,IF(G$4=13,5,"ERROR"))</f>
        <v>4</v>
      </c>
      <c r="H9" s="78">
        <f>IF(H$4=5,4,IF(H$4=14,3,"ERROR"))</f>
        <v>4</v>
      </c>
      <c r="I9" s="78">
        <f>IF(I$4=6,3,IF(I$4=15,4,"ERROR"))</f>
        <v>3</v>
      </c>
      <c r="J9" s="78">
        <f>IF(J$4=7,5,IF(J$4=16,3,"ERROR"))</f>
        <v>5</v>
      </c>
      <c r="K9" s="78">
        <f>IF(K$4=8,3,IF(K$4=17,4,"ERROR"))</f>
        <v>3</v>
      </c>
      <c r="L9" s="78">
        <f>IF(L$4=9,4,IF(L$4=18,4,"ERROR"))</f>
        <v>4</v>
      </c>
      <c r="M9" s="78">
        <f>SUM(D9:L9)</f>
        <v>37</v>
      </c>
      <c r="N9" s="66">
        <v>0.215277777777778</v>
      </c>
      <c r="O9" s="9"/>
      <c r="P9" s="66">
        <v>0.215277777777778</v>
      </c>
      <c r="Q9" s="9" t="s">
        <v>23</v>
      </c>
    </row>
    <row r="10" spans="1:17" ht="15.75" customHeight="1">
      <c r="A10" s="81" t="s">
        <v>0</v>
      </c>
      <c r="B10" s="81" t="s">
        <v>1</v>
      </c>
      <c r="C10" s="82" t="s">
        <v>13</v>
      </c>
      <c r="D10" s="83">
        <f>IF(D$4=1,5,IF(D$4=10,4,"ERROR"))</f>
        <v>5</v>
      </c>
      <c r="E10" s="83">
        <f>IF(E$4=2,7,IF(E$4=11,2,"ERROR"))</f>
        <v>7</v>
      </c>
      <c r="F10" s="83">
        <f>IF(F$4=3,3,IF(F$4=12,8,"ERROR"))</f>
        <v>3</v>
      </c>
      <c r="G10" s="83">
        <f>IF(G$4=4,9,IF(G$4=13,6,"ERROR"))</f>
        <v>9</v>
      </c>
      <c r="H10" s="83">
        <f>IF(H$4=5,11,IF(H$4=14,16,"ERROR"))</f>
        <v>11</v>
      </c>
      <c r="I10" s="83">
        <f>IF(I$4=6,17,IF(I$4=15,12,"ERROR"))</f>
        <v>17</v>
      </c>
      <c r="J10" s="83">
        <f>IF(J$4=7,1,IF(J$4=16,18,"ERROR"))</f>
        <v>1</v>
      </c>
      <c r="K10" s="83">
        <f>IF(K$4=8,15,IF(K$4=17,14,"ERROR"))</f>
        <v>15</v>
      </c>
      <c r="L10" s="83">
        <f>IF(L$4=9,13,IF(L$4=18,10,"ERROR"))</f>
        <v>13</v>
      </c>
      <c r="M10" s="84"/>
      <c r="N10" s="16" t="str">
        <f>VLOOKUP($N$9,'SCHEDULE &amp; POINTS'!$B$8:$I$14,RIGHT($N$6)+1,FALSE)</f>
        <v>6 v 12</v>
      </c>
      <c r="O10" s="9"/>
      <c r="P10" s="66">
        <v>0.220833333333333</v>
      </c>
      <c r="Q10" s="9" t="s">
        <v>24</v>
      </c>
    </row>
    <row r="11" spans="1:17" ht="9" customHeight="1">
      <c r="A11" s="27"/>
      <c r="B11" s="98"/>
      <c r="C11" s="27"/>
      <c r="D11" s="119">
        <f>IF($B34-9&gt;=IF(VLOOKUP($B12,'SCORES &amp; HANDICAP CALCULATOR'!$B$3:$E$67,3,FALSE)="F",D$33,D$32),2,IF($B34&gt;=IF(VLOOKUP($B12,'SCORES &amp; HANDICAP CALCULATOR'!$B$3:$E$67,3,FALSE)="F",D$33,D$32),1,0))</f>
        <v>1</v>
      </c>
      <c r="E11" s="119">
        <f>IF($B34-9&gt;=IF(VLOOKUP($B12,'SCORES &amp; HANDICAP CALCULATOR'!$B$3:$E$67,3,FALSE)="F",E$33,E$32),2,IF($B34&gt;=IF(VLOOKUP($B12,'SCORES &amp; HANDICAP CALCULATOR'!$B$3:$E$67,3,FALSE)="F",E$33,E$32),1,0))</f>
        <v>1</v>
      </c>
      <c r="F11" s="38">
        <f>IF($B34-9&gt;=IF(VLOOKUP($B12,'SCORES &amp; HANDICAP CALCULATOR'!$B$3:$E$67,3,FALSE)="F",F$33,F$32),2,IF($B34&gt;=IF(VLOOKUP($B12,'SCORES &amp; HANDICAP CALCULATOR'!$B$3:$E$67,3,FALSE)="F",F$33,F$32),1,0))</f>
        <v>1</v>
      </c>
      <c r="G11" s="38">
        <f>IF($B34-9&gt;=IF(VLOOKUP($B12,'SCORES &amp; HANDICAP CALCULATOR'!$B$3:$E$67,3,FALSE)="F",G$33,G$32),2,IF($B34&gt;=IF(VLOOKUP($B12,'SCORES &amp; HANDICAP CALCULATOR'!$B$3:$E$67,3,FALSE)="F",G$33,G$32),1,0))</f>
        <v>1</v>
      </c>
      <c r="H11" s="38">
        <f>IF($B34-9&gt;=IF(VLOOKUP($B12,'SCORES &amp; HANDICAP CALCULATOR'!$B$3:$E$67,3,FALSE)="F",H$33,H$32),2,IF($B34&gt;=IF(VLOOKUP($B12,'SCORES &amp; HANDICAP CALCULATOR'!$B$3:$E$67,3,FALSE)="F",H$33,H$32),1,0))</f>
        <v>0</v>
      </c>
      <c r="I11" s="38">
        <f>IF($B34-9&gt;=IF(VLOOKUP($B12,'SCORES &amp; HANDICAP CALCULATOR'!$B$3:$E$67,3,FALSE)="F",I$33,I$32),2,IF($B34&gt;=IF(VLOOKUP($B12,'SCORES &amp; HANDICAP CALCULATOR'!$B$3:$E$67,3,FALSE)="F",I$33,I$32),1,0))</f>
        <v>0</v>
      </c>
      <c r="J11" s="38">
        <f>IF($B34-9&gt;=IF(VLOOKUP($B12,'SCORES &amp; HANDICAP CALCULATOR'!$B$3:$E$67,3,FALSE)="F",J$33,J$32),2,IF($B34&gt;=IF(VLOOKUP($B12,'SCORES &amp; HANDICAP CALCULATOR'!$B$3:$E$67,3,FALSE)="F",J$33,J$32),1,0))</f>
        <v>1</v>
      </c>
      <c r="K11" s="38">
        <f>IF($B34-9&gt;=IF(VLOOKUP($B12,'SCORES &amp; HANDICAP CALCULATOR'!$B$3:$E$67,3,FALSE)="F",K$33,K$32),2,IF($B34&gt;=IF(VLOOKUP($B12,'SCORES &amp; HANDICAP CALCULATOR'!$B$3:$E$67,3,FALSE)="F",K$33,K$32),1,0))</f>
        <v>0</v>
      </c>
      <c r="L11" s="38">
        <f>IF($B34-9&gt;=IF(VLOOKUP($B12,'SCORES &amp; HANDICAP CALCULATOR'!$B$3:$E$67,3,FALSE)="F",L$33,L$32),2,IF($B34&gt;=IF(VLOOKUP($B12,'SCORES &amp; HANDICAP CALCULATOR'!$B$3:$E$67,3,FALSE)="F",L$33,L$32),1,0))</f>
        <v>0</v>
      </c>
      <c r="M11" s="38">
        <f aca="true" t="shared" si="0" ref="M11:M19">SUM(D11:L11)</f>
        <v>5</v>
      </c>
      <c r="N11" s="9"/>
      <c r="O11" s="9"/>
      <c r="P11" s="9"/>
      <c r="Q11" s="9"/>
    </row>
    <row r="12" spans="1:26" ht="18.75" customHeight="1">
      <c r="A12" s="54">
        <f>VLOOKUP(B12,'SCORES &amp; HANDICAP CALCULATOR'!$B$3:$E$67,4,FALSE)</f>
        <v>11</v>
      </c>
      <c r="B12" s="99" t="str">
        <f>$N$12&amp;"A"</f>
        <v>6A</v>
      </c>
      <c r="C12" s="54" t="str">
        <f>IF($N$9&lt;&gt;"",VLOOKUP(B12,'SCORES &amp; HANDICAP CALCULATOR'!$B$3:$E$67,2,FALSE),"")</f>
        <v>Dennis Normandin</v>
      </c>
      <c r="D12" s="120"/>
      <c r="E12" s="120"/>
      <c r="F12" s="120"/>
      <c r="G12" s="120"/>
      <c r="H12" s="120"/>
      <c r="I12" s="120"/>
      <c r="J12" s="120"/>
      <c r="K12" s="120"/>
      <c r="L12" s="120"/>
      <c r="M12" s="29">
        <f t="shared" si="0"/>
        <v>0</v>
      </c>
      <c r="N12" s="9" t="str">
        <f>LEFT(SUBSTITUTE(VLOOKUP($N$9,'SCHEDULE &amp; POINTS'!$B$8:$I$14,RIGHT($N$6)+1,FALSE)," v ",","),FIND(",",SUBSTITUTE(VLOOKUP($N$9,'SCHEDULE &amp; POINTS'!$B$8:$I$14,RIGHT($N$6)+1,FALSE)," v ",","))-1)</f>
        <v>6</v>
      </c>
      <c r="O12" s="9"/>
      <c r="P12" s="9"/>
      <c r="Q12" s="9"/>
      <c r="R12" s="69">
        <v>4</v>
      </c>
      <c r="S12" s="69">
        <v>6</v>
      </c>
      <c r="T12" s="69">
        <v>6</v>
      </c>
      <c r="U12" s="69">
        <v>4</v>
      </c>
      <c r="V12" s="69">
        <v>6</v>
      </c>
      <c r="W12" s="69">
        <v>4</v>
      </c>
      <c r="X12" s="69">
        <v>6</v>
      </c>
      <c r="Y12" s="69">
        <v>4</v>
      </c>
      <c r="Z12" s="69">
        <v>3</v>
      </c>
    </row>
    <row r="13" spans="1:17" ht="9" customHeight="1">
      <c r="A13" s="27"/>
      <c r="B13" s="117"/>
      <c r="C13" s="27"/>
      <c r="D13" s="38">
        <f>IF($B35-9&gt;=IF(VLOOKUP($B14,'SCORES &amp; HANDICAP CALCULATOR'!$B$3:$E$67,3,FALSE)="F",D$33,D$32),2,IF($B35&gt;=IF(VLOOKUP($B14,'SCORES &amp; HANDICAP CALCULATOR'!$B$3:$E$67,3,FALSE)="F",D$33,D$32),1,0))</f>
        <v>0</v>
      </c>
      <c r="E13" s="38">
        <f>IF($B35-9&gt;=IF(VLOOKUP($B14,'SCORES &amp; HANDICAP CALCULATOR'!$B$3:$E$67,3,FALSE)="F",E$33,E$32),2,IF($B35&gt;=IF(VLOOKUP($B14,'SCORES &amp; HANDICAP CALCULATOR'!$B$3:$E$67,3,FALSE)="F",E$33,E$32),1,0))</f>
        <v>0</v>
      </c>
      <c r="F13" s="38">
        <f>IF($B35-9&gt;=IF(VLOOKUP($B14,'SCORES &amp; HANDICAP CALCULATOR'!$B$3:$E$67,3,FALSE)="F",F$33,F$32),2,IF($B35&gt;=IF(VLOOKUP($B14,'SCORES &amp; HANDICAP CALCULATOR'!$B$3:$E$67,3,FALSE)="F",F$33,F$32),1,0))</f>
        <v>0</v>
      </c>
      <c r="G13" s="38">
        <f>IF($B35-9&gt;=IF(VLOOKUP($B14,'SCORES &amp; HANDICAP CALCULATOR'!$B$3:$E$67,3,FALSE)="F",G$33,G$32),2,IF($B35&gt;=IF(VLOOKUP($B14,'SCORES &amp; HANDICAP CALCULATOR'!$B$3:$E$67,3,FALSE)="F",G$33,G$32),1,0))</f>
        <v>0</v>
      </c>
      <c r="H13" s="38">
        <f>IF($B35-9&gt;=IF(VLOOKUP($B14,'SCORES &amp; HANDICAP CALCULATOR'!$B$3:$E$67,3,FALSE)="F",H$33,H$32),2,IF($B35&gt;=IF(VLOOKUP($B14,'SCORES &amp; HANDICAP CALCULATOR'!$B$3:$E$67,3,FALSE)="F",H$33,H$32),1,0))</f>
        <v>0</v>
      </c>
      <c r="I13" s="38">
        <f>IF($B35-9&gt;=IF(VLOOKUP($B14,'SCORES &amp; HANDICAP CALCULATOR'!$B$3:$E$67,3,FALSE)="F",I$33,I$32),2,IF($B35&gt;=IF(VLOOKUP($B14,'SCORES &amp; HANDICAP CALCULATOR'!$B$3:$E$67,3,FALSE)="F",I$33,I$32),1,0))</f>
        <v>0</v>
      </c>
      <c r="J13" s="38">
        <f>IF($B35-9&gt;=IF(VLOOKUP($B14,'SCORES &amp; HANDICAP CALCULATOR'!$B$3:$E$67,3,FALSE)="F",J$33,J$32),2,IF($B35&gt;=IF(VLOOKUP($B14,'SCORES &amp; HANDICAP CALCULATOR'!$B$3:$E$67,3,FALSE)="F",J$33,J$32),1,0))</f>
        <v>0</v>
      </c>
      <c r="K13" s="38">
        <f>IF($B35-9&gt;=IF(VLOOKUP($B14,'SCORES &amp; HANDICAP CALCULATOR'!$B$3:$E$67,3,FALSE)="F",K$33,K$32),2,IF($B35&gt;=IF(VLOOKUP($B14,'SCORES &amp; HANDICAP CALCULATOR'!$B$3:$E$67,3,FALSE)="F",K$33,K$32),1,0))</f>
        <v>0</v>
      </c>
      <c r="L13" s="38">
        <f>IF($B35-9&gt;=IF(VLOOKUP($B14,'SCORES &amp; HANDICAP CALCULATOR'!$B$3:$E$67,3,FALSE)="F",L$33,L$32),2,IF($B35&gt;=IF(VLOOKUP($B14,'SCORES &amp; HANDICAP CALCULATOR'!$B$3:$E$67,3,FALSE)="F",L$33,L$32),1,0))</f>
        <v>0</v>
      </c>
      <c r="M13" s="38">
        <f t="shared" si="0"/>
        <v>0</v>
      </c>
      <c r="N13" s="9"/>
      <c r="O13" s="9"/>
      <c r="P13" s="9"/>
      <c r="Q13" s="9"/>
    </row>
    <row r="14" spans="1:26" ht="18.75" customHeight="1">
      <c r="A14" s="54">
        <f>VLOOKUP(B14,'SCORES &amp; HANDICAP CALCULATOR'!$B$3:$E$67,4,FALSE)</f>
        <v>6</v>
      </c>
      <c r="B14" s="99" t="str">
        <f>$N$12&amp;"B"</f>
        <v>6B</v>
      </c>
      <c r="C14" s="54" t="str">
        <f>VLOOKUP(B14,'SCORES &amp; HANDICAP CALCULATOR'!$B$3:$E$67,2,FALSE)</f>
        <v>Marc Normandin</v>
      </c>
      <c r="D14" s="120"/>
      <c r="E14" s="120"/>
      <c r="F14" s="120"/>
      <c r="G14" s="120"/>
      <c r="H14" s="120"/>
      <c r="I14" s="120"/>
      <c r="J14" s="120"/>
      <c r="K14" s="120"/>
      <c r="L14" s="120"/>
      <c r="M14" s="29">
        <f>SUM(D14:L14)</f>
        <v>0</v>
      </c>
      <c r="N14" s="9"/>
      <c r="O14" s="9"/>
      <c r="P14" s="9"/>
      <c r="Q14" s="9"/>
      <c r="R14" s="69">
        <v>5</v>
      </c>
      <c r="S14" s="69">
        <v>5</v>
      </c>
      <c r="T14" s="69">
        <v>5</v>
      </c>
      <c r="U14" s="69">
        <v>5</v>
      </c>
      <c r="V14" s="69">
        <v>5</v>
      </c>
      <c r="W14" s="69">
        <v>5</v>
      </c>
      <c r="X14" s="69">
        <v>5</v>
      </c>
      <c r="Y14" s="69">
        <v>5</v>
      </c>
      <c r="Z14" s="69">
        <v>5</v>
      </c>
    </row>
    <row r="15" spans="1:14" ht="12.75" customHeight="1">
      <c r="A15" s="31"/>
      <c r="B15" s="100"/>
      <c r="C15" s="67" t="str">
        <f>IF(LEN(N12)=1,CONCATENATE("Team 0",N12),CONCATENATE("Team ",N12))</f>
        <v>Team 06</v>
      </c>
      <c r="D15" s="68">
        <f>IF($B$18="Course",IF($B$20="Course",D43,D42),D42)</f>
      </c>
      <c r="E15" s="68">
        <f aca="true" t="shared" si="1" ref="E15:L15">IF($B$18="Course",IF($B$20="Course",E43,E42),E42)</f>
      </c>
      <c r="F15" s="68">
        <f t="shared" si="1"/>
      </c>
      <c r="G15" s="68">
        <f t="shared" si="1"/>
      </c>
      <c r="H15" s="68">
        <f t="shared" si="1"/>
      </c>
      <c r="I15" s="68">
        <f t="shared" si="1"/>
      </c>
      <c r="J15" s="68">
        <f t="shared" si="1"/>
      </c>
      <c r="K15" s="68">
        <f t="shared" si="1"/>
      </c>
      <c r="L15" s="68">
        <f t="shared" si="1"/>
      </c>
      <c r="M15" s="68">
        <f t="shared" si="0"/>
        <v>0</v>
      </c>
      <c r="N15" s="9"/>
    </row>
    <row r="16" spans="1:14" ht="12.75" customHeight="1">
      <c r="A16" s="33"/>
      <c r="B16" s="101"/>
      <c r="C16" s="67" t="str">
        <f>IF(LEN(N18)=1,CONCATENATE("Team 0",N18),CONCATENATE("Team ",N18))</f>
        <v>Team 12</v>
      </c>
      <c r="D16" s="68">
        <f>IF($B$12="Course",IF($B$14="Course",D48,D47),D47)</f>
      </c>
      <c r="E16" s="68">
        <f aca="true" t="shared" si="2" ref="E16:L16">IF($B$12="Course",IF($B$14="Course",E48,E47),E47)</f>
      </c>
      <c r="F16" s="68">
        <f t="shared" si="2"/>
      </c>
      <c r="G16" s="68">
        <f t="shared" si="2"/>
      </c>
      <c r="H16" s="68">
        <f t="shared" si="2"/>
      </c>
      <c r="I16" s="68">
        <f t="shared" si="2"/>
      </c>
      <c r="J16" s="68">
        <f t="shared" si="2"/>
      </c>
      <c r="K16" s="68">
        <f t="shared" si="2"/>
      </c>
      <c r="L16" s="68">
        <f t="shared" si="2"/>
      </c>
      <c r="M16" s="68">
        <f t="shared" si="0"/>
        <v>0</v>
      </c>
      <c r="N16" s="9"/>
    </row>
    <row r="17" spans="1:14" ht="9" customHeight="1">
      <c r="A17" s="27"/>
      <c r="B17" s="117"/>
      <c r="C17" s="27"/>
      <c r="D17" s="38">
        <f>IF($B37-9&gt;=IF(VLOOKUP($B18,'SCORES &amp; HANDICAP CALCULATOR'!$B$3:$E$67,3,FALSE)="F",D$33,D$32),2,IF($B37&gt;=IF(VLOOKUP($B18,'SCORES &amp; HANDICAP CALCULATOR'!$B$3:$E$67,3,FALSE)="F",D$33,D$32),1,0))</f>
        <v>1</v>
      </c>
      <c r="E17" s="38">
        <f>IF($B37-9&gt;=IF(VLOOKUP($B18,'SCORES &amp; HANDICAP CALCULATOR'!$B$3:$E$67,3,FALSE)="F",E$33,E$32),2,IF($B37&gt;=IF(VLOOKUP($B18,'SCORES &amp; HANDICAP CALCULATOR'!$B$3:$E$67,3,FALSE)="F",E$33,E$32),1,0))</f>
        <v>1</v>
      </c>
      <c r="F17" s="38">
        <f>IF($B37-9&gt;=IF(VLOOKUP($B18,'SCORES &amp; HANDICAP CALCULATOR'!$B$3:$E$67,3,FALSE)="F",F$33,F$32),2,IF($B37&gt;=IF(VLOOKUP($B18,'SCORES &amp; HANDICAP CALCULATOR'!$B$3:$E$67,3,FALSE)="F",F$33,F$32),1,0))</f>
        <v>2</v>
      </c>
      <c r="G17" s="38">
        <f>IF($B37-9&gt;=IF(VLOOKUP($B18,'SCORES &amp; HANDICAP CALCULATOR'!$B$3:$E$67,3,FALSE)="F",G$33,G$32),2,IF($B37&gt;=IF(VLOOKUP($B18,'SCORES &amp; HANDICAP CALCULATOR'!$B$3:$E$67,3,FALSE)="F",G$33,G$32),1,0))</f>
        <v>1</v>
      </c>
      <c r="H17" s="38">
        <f>IF($B37-9&gt;=IF(VLOOKUP($B18,'SCORES &amp; HANDICAP CALCULATOR'!$B$3:$E$67,3,FALSE)="F",H$33,H$32),2,IF($B37&gt;=IF(VLOOKUP($B18,'SCORES &amp; HANDICAP CALCULATOR'!$B$3:$E$67,3,FALSE)="F",H$33,H$32),1,0))</f>
        <v>1</v>
      </c>
      <c r="I17" s="38">
        <f>IF($B37-9&gt;=IF(VLOOKUP($B18,'SCORES &amp; HANDICAP CALCULATOR'!$B$3:$E$67,3,FALSE)="F",I$33,I$32),2,IF($B37&gt;=IF(VLOOKUP($B18,'SCORES &amp; HANDICAP CALCULATOR'!$B$3:$E$67,3,FALSE)="F",I$33,I$32),1,0))</f>
        <v>1</v>
      </c>
      <c r="J17" s="38">
        <f>IF($B37-9&gt;=IF(VLOOKUP($B18,'SCORES &amp; HANDICAP CALCULATOR'!$B$3:$E$67,3,FALSE)="F",J$33,J$32),2,IF($B37&gt;=IF(VLOOKUP($B18,'SCORES &amp; HANDICAP CALCULATOR'!$B$3:$E$67,3,FALSE)="F",J$33,J$32),1,0))</f>
        <v>2</v>
      </c>
      <c r="K17" s="38">
        <f>IF($B37-9&gt;=IF(VLOOKUP($B18,'SCORES &amp; HANDICAP CALCULATOR'!$B$3:$E$67,3,FALSE)="F",K$33,K$32),2,IF($B37&gt;=IF(VLOOKUP($B18,'SCORES &amp; HANDICAP CALCULATOR'!$B$3:$E$67,3,FALSE)="F",K$33,K$32),1,0))</f>
        <v>1</v>
      </c>
      <c r="L17" s="38">
        <f>IF($B37-9&gt;=IF(VLOOKUP($B18,'SCORES &amp; HANDICAP CALCULATOR'!$B$3:$E$67,3,FALSE)="F",L$33,L$32),2,IF($B37&gt;=IF(VLOOKUP($B18,'SCORES &amp; HANDICAP CALCULATOR'!$B$3:$E$67,3,FALSE)="F",L$33,L$32),1,0))</f>
        <v>1</v>
      </c>
      <c r="M17" s="38">
        <f t="shared" si="0"/>
        <v>11</v>
      </c>
      <c r="N17" s="9"/>
    </row>
    <row r="18" spans="1:26" ht="18.75" customHeight="1">
      <c r="A18" s="54">
        <f>IF(B18="DNP",A20,VLOOKUP(B18,'SCORES &amp; HANDICAP CALCULATOR'!$B$3:$E$67,4,FALSE))</f>
        <v>17</v>
      </c>
      <c r="B18" s="99" t="str">
        <f>$N$18&amp;"A"</f>
        <v>12A</v>
      </c>
      <c r="C18" s="54" t="str">
        <f>VLOOKUP(B18,'SCORES &amp; HANDICAP CALCULATOR'!$B$3:$E$67,2,FALSE)</f>
        <v>Mike Marlborough</v>
      </c>
      <c r="D18" s="120"/>
      <c r="E18" s="120"/>
      <c r="F18" s="120"/>
      <c r="G18" s="120"/>
      <c r="H18" s="120"/>
      <c r="I18" s="120"/>
      <c r="J18" s="120"/>
      <c r="K18" s="120"/>
      <c r="L18" s="120"/>
      <c r="M18" s="29">
        <f t="shared" si="0"/>
        <v>0</v>
      </c>
      <c r="N18" s="9" t="str">
        <f>RIGHT(SUBSTITUTE(VLOOKUP($N$9,'SCHEDULE &amp; POINTS'!$B$8:$I$14,RIGHT($N$6)+1,FALSE)," v ",","),LEN(SUBSTITUTE(VLOOKUP($N$9,'SCHEDULE &amp; POINTS'!$B$8:$I$14,RIGHT($N$6)+1,FALSE)," v ",","))-FIND(",",SUBSTITUTE(N10," v ",",")))</f>
        <v>12</v>
      </c>
      <c r="R18" s="69">
        <v>4</v>
      </c>
      <c r="S18" s="69">
        <v>6</v>
      </c>
      <c r="T18" s="69">
        <v>6</v>
      </c>
      <c r="U18" s="69">
        <v>4</v>
      </c>
      <c r="V18" s="69">
        <v>6</v>
      </c>
      <c r="W18" s="69">
        <v>4</v>
      </c>
      <c r="X18" s="69">
        <v>6</v>
      </c>
      <c r="Y18" s="69">
        <v>4</v>
      </c>
      <c r="Z18" s="69">
        <v>4</v>
      </c>
    </row>
    <row r="19" spans="1:14" ht="9" customHeight="1">
      <c r="A19" s="27"/>
      <c r="B19" s="117"/>
      <c r="C19" s="27"/>
      <c r="D19" s="38">
        <f>IF($B38-9&gt;=IF(VLOOKUP($B20,'SCORES &amp; HANDICAP CALCULATOR'!$B$3:$E$67,3,FALSE)="F",D$33,D$32),2,IF($B38&gt;=IF(VLOOKUP($B20,'SCORES &amp; HANDICAP CALCULATOR'!$B$3:$E$67,3,FALSE)="F",D$33,D$32),1,0))</f>
        <v>2</v>
      </c>
      <c r="E19" s="38">
        <f>IF($B38-9&gt;=IF(VLOOKUP($B20,'SCORES &amp; HANDICAP CALCULATOR'!$B$3:$E$67,3,FALSE)="F",E$33,E$32),2,IF($B38&gt;=IF(VLOOKUP($B20,'SCORES &amp; HANDICAP CALCULATOR'!$B$3:$E$67,3,FALSE)="F",E$33,E$32),1,0))</f>
        <v>2</v>
      </c>
      <c r="F19" s="38">
        <f>IF($B38-9&gt;=IF(VLOOKUP($B20,'SCORES &amp; HANDICAP CALCULATOR'!$B$3:$E$67,3,FALSE)="F",F$33,F$32),2,IF($B38&gt;=IF(VLOOKUP($B20,'SCORES &amp; HANDICAP CALCULATOR'!$B$3:$E$67,3,FALSE)="F",F$33,F$32),1,0))</f>
        <v>2</v>
      </c>
      <c r="G19" s="38">
        <f>IF($B38-9&gt;=IF(VLOOKUP($B20,'SCORES &amp; HANDICAP CALCULATOR'!$B$3:$E$67,3,FALSE)="F",G$33,G$32),2,IF($B38&gt;=IF(VLOOKUP($B20,'SCORES &amp; HANDICAP CALCULATOR'!$B$3:$E$67,3,FALSE)="F",G$33,G$32),1,0))</f>
        <v>2</v>
      </c>
      <c r="H19" s="38">
        <f>IF($B38-9&gt;=IF(VLOOKUP($B20,'SCORES &amp; HANDICAP CALCULATOR'!$B$3:$E$67,3,FALSE)="F",H$33,H$32),2,IF($B38&gt;=IF(VLOOKUP($B20,'SCORES &amp; HANDICAP CALCULATOR'!$B$3:$E$67,3,FALSE)="F",H$33,H$32),1,0))</f>
        <v>2</v>
      </c>
      <c r="I19" s="38">
        <f>IF($B38-9&gt;=IF(VLOOKUP($B20,'SCORES &amp; HANDICAP CALCULATOR'!$B$3:$E$67,3,FALSE)="F",I$33,I$32),2,IF($B38&gt;=IF(VLOOKUP($B20,'SCORES &amp; HANDICAP CALCULATOR'!$B$3:$E$67,3,FALSE)="F",I$33,I$32),1,0))</f>
        <v>1</v>
      </c>
      <c r="J19" s="38">
        <f>IF($B38-9&gt;=IF(VLOOKUP($B20,'SCORES &amp; HANDICAP CALCULATOR'!$B$3:$E$67,3,FALSE)="F",J$33,J$32),2,IF($B38&gt;=IF(VLOOKUP($B20,'SCORES &amp; HANDICAP CALCULATOR'!$B$3:$E$67,3,FALSE)="F",J$33,J$32),1,0))</f>
        <v>2</v>
      </c>
      <c r="K19" s="38">
        <f>IF($B38-9&gt;=IF(VLOOKUP($B20,'SCORES &amp; HANDICAP CALCULATOR'!$B$3:$E$67,3,FALSE)="F",K$33,K$32),2,IF($B38&gt;=IF(VLOOKUP($B20,'SCORES &amp; HANDICAP CALCULATOR'!$B$3:$E$67,3,FALSE)="F",K$33,K$32),1,0))</f>
        <v>1</v>
      </c>
      <c r="L19" s="38">
        <f>IF($B38-9&gt;=IF(VLOOKUP($B20,'SCORES &amp; HANDICAP CALCULATOR'!$B$3:$E$67,3,FALSE)="F",L$33,L$32),2,IF($B38&gt;=IF(VLOOKUP($B20,'SCORES &amp; HANDICAP CALCULATOR'!$B$3:$E$67,3,FALSE)="F",L$33,L$32),1,0))</f>
        <v>1</v>
      </c>
      <c r="M19" s="38">
        <f t="shared" si="0"/>
        <v>15</v>
      </c>
      <c r="N19" s="9"/>
    </row>
    <row r="20" spans="1:26" ht="18.75" customHeight="1">
      <c r="A20" s="54">
        <f>IF(B20="DNP",A18,VLOOKUP(B20,'SCORES &amp; HANDICAP CALCULATOR'!$B$3:$E$67,4,FALSE))</f>
        <v>21</v>
      </c>
      <c r="B20" s="99" t="str">
        <f>$N$18&amp;"B"</f>
        <v>12B</v>
      </c>
      <c r="C20" s="54" t="str">
        <f>VLOOKUP(B20,'SCORES &amp; HANDICAP CALCULATOR'!$B$3:$E$67,2,FALSE)</f>
        <v>Rich Wilson</v>
      </c>
      <c r="D20" s="120"/>
      <c r="E20" s="120"/>
      <c r="F20" s="120"/>
      <c r="G20" s="120"/>
      <c r="H20" s="120"/>
      <c r="I20" s="120"/>
      <c r="J20" s="120"/>
      <c r="K20" s="120"/>
      <c r="L20" s="120"/>
      <c r="M20" s="29">
        <f>SUM(D20:L20)</f>
        <v>0</v>
      </c>
      <c r="R20" s="69">
        <v>4</v>
      </c>
      <c r="S20" s="69">
        <v>6</v>
      </c>
      <c r="T20" s="69">
        <v>6</v>
      </c>
      <c r="U20" s="69">
        <v>4</v>
      </c>
      <c r="V20" s="69">
        <v>6</v>
      </c>
      <c r="W20" s="69">
        <v>4</v>
      </c>
      <c r="X20" s="69">
        <v>6</v>
      </c>
      <c r="Y20" s="69">
        <v>4</v>
      </c>
      <c r="Z20" s="69">
        <v>4</v>
      </c>
    </row>
    <row r="21" spans="1:13" ht="12" customHeight="1">
      <c r="A21" s="34"/>
      <c r="B21" s="34"/>
      <c r="C21" s="34"/>
      <c r="D21" s="65"/>
      <c r="E21" s="65"/>
      <c r="F21" s="65"/>
      <c r="G21" s="65"/>
      <c r="H21" s="65"/>
      <c r="I21" s="65"/>
      <c r="J21" s="65"/>
      <c r="K21" s="65"/>
      <c r="L21" s="65"/>
      <c r="M21" s="34"/>
    </row>
    <row r="22" spans="1:13" ht="15.75" customHeight="1">
      <c r="A22" s="206" t="str">
        <f>CONCATENATE("TEE TIME: ",TEXT(N9,"h:mm")," PM")</f>
        <v>TEE TIME: 5:10 PM</v>
      </c>
      <c r="B22" s="207"/>
      <c r="C22" s="207"/>
      <c r="D22" s="207"/>
      <c r="E22" s="207"/>
      <c r="F22" s="207"/>
      <c r="G22" s="207"/>
      <c r="H22" s="207"/>
      <c r="I22" s="207"/>
      <c r="J22" s="207"/>
      <c r="K22" s="207"/>
      <c r="L22" s="207"/>
      <c r="M22" s="207"/>
    </row>
    <row r="23" spans="1:14" ht="18" customHeight="1">
      <c r="A23" s="34"/>
      <c r="B23" s="34"/>
      <c r="C23" s="34"/>
      <c r="D23" s="35"/>
      <c r="E23" s="35"/>
      <c r="F23" s="35"/>
      <c r="G23" s="35"/>
      <c r="H23" s="35"/>
      <c r="I23" s="35"/>
      <c r="J23" s="35"/>
      <c r="K23" s="35"/>
      <c r="L23" s="35"/>
      <c r="M23" s="36"/>
      <c r="N23" s="63" t="s">
        <v>106</v>
      </c>
    </row>
    <row r="24" ht="18" customHeight="1"/>
    <row r="25" ht="12.75" customHeight="1">
      <c r="M25" s="37"/>
    </row>
    <row r="26" ht="12.75" customHeight="1">
      <c r="M26" s="28"/>
    </row>
    <row r="27" ht="11.25" customHeight="1">
      <c r="M27" s="28"/>
    </row>
    <row r="28" ht="12.75" customHeight="1">
      <c r="M28" s="28"/>
    </row>
    <row r="29" spans="1:13" ht="12.75" customHeight="1" hidden="1">
      <c r="A29" s="1"/>
      <c r="B29" s="1"/>
      <c r="C29" s="1"/>
      <c r="D29" s="1"/>
      <c r="E29" s="1"/>
      <c r="F29" s="1"/>
      <c r="G29" s="1"/>
      <c r="H29" s="1"/>
      <c r="I29" s="1"/>
      <c r="J29" s="1"/>
      <c r="K29" s="1"/>
      <c r="L29" s="1"/>
      <c r="M29" s="28"/>
    </row>
    <row r="30" spans="1:13" ht="12.75" customHeight="1" hidden="1">
      <c r="A30" s="1"/>
      <c r="B30" s="1"/>
      <c r="C30" s="1"/>
      <c r="D30" s="1"/>
      <c r="E30" s="1"/>
      <c r="F30" s="1"/>
      <c r="G30" s="1"/>
      <c r="H30" s="1"/>
      <c r="I30" s="1"/>
      <c r="J30" s="1"/>
      <c r="K30" s="1"/>
      <c r="L30" s="1"/>
      <c r="M30" s="28"/>
    </row>
    <row r="31" spans="1:13" ht="12.75" customHeight="1" hidden="1">
      <c r="A31" s="1"/>
      <c r="B31" s="1"/>
      <c r="C31" s="1"/>
      <c r="D31" s="1"/>
      <c r="E31" s="1"/>
      <c r="F31" s="1"/>
      <c r="G31" s="1"/>
      <c r="H31" s="1"/>
      <c r="I31" s="1"/>
      <c r="J31" s="1"/>
      <c r="K31" s="1"/>
      <c r="L31" s="1"/>
      <c r="M31" s="28"/>
    </row>
    <row r="32" spans="1:13" ht="18" hidden="1">
      <c r="A32" s="28"/>
      <c r="B32" s="28"/>
      <c r="C32" s="118" t="s">
        <v>88</v>
      </c>
      <c r="D32" s="28">
        <f aca="true" t="shared" si="3" ref="D32:L32">RANK(D7,$D$7:$L$7,1)</f>
        <v>3</v>
      </c>
      <c r="E32" s="28">
        <f t="shared" si="3"/>
        <v>4</v>
      </c>
      <c r="F32" s="28">
        <f t="shared" si="3"/>
        <v>2</v>
      </c>
      <c r="G32" s="28">
        <f t="shared" si="3"/>
        <v>5</v>
      </c>
      <c r="H32" s="28">
        <f t="shared" si="3"/>
        <v>6</v>
      </c>
      <c r="I32" s="28">
        <f t="shared" si="3"/>
        <v>9</v>
      </c>
      <c r="J32" s="28">
        <f t="shared" si="3"/>
        <v>1</v>
      </c>
      <c r="K32" s="28">
        <f t="shared" si="3"/>
        <v>8</v>
      </c>
      <c r="L32" s="28">
        <f t="shared" si="3"/>
        <v>7</v>
      </c>
      <c r="M32" s="28"/>
    </row>
    <row r="33" spans="1:13" ht="18" hidden="1">
      <c r="A33" s="28"/>
      <c r="B33" s="28"/>
      <c r="C33" s="118" t="s">
        <v>89</v>
      </c>
      <c r="D33" s="28">
        <f>RANK(D10,$D$10:$L$10,1)</f>
        <v>3</v>
      </c>
      <c r="E33" s="28">
        <f aca="true" t="shared" si="4" ref="E33:L33">RANK(E10,$D$10:$L$10,1)</f>
        <v>4</v>
      </c>
      <c r="F33" s="28">
        <f t="shared" si="4"/>
        <v>2</v>
      </c>
      <c r="G33" s="28">
        <f t="shared" si="4"/>
        <v>5</v>
      </c>
      <c r="H33" s="28">
        <f t="shared" si="4"/>
        <v>6</v>
      </c>
      <c r="I33" s="28">
        <f t="shared" si="4"/>
        <v>9</v>
      </c>
      <c r="J33" s="28">
        <f t="shared" si="4"/>
        <v>1</v>
      </c>
      <c r="K33" s="28">
        <f t="shared" si="4"/>
        <v>8</v>
      </c>
      <c r="L33" s="28">
        <f t="shared" si="4"/>
        <v>7</v>
      </c>
      <c r="M33" s="28"/>
    </row>
    <row r="34" spans="1:13" ht="18" hidden="1">
      <c r="A34" s="28">
        <f>MIN(A12:A20)</f>
        <v>6</v>
      </c>
      <c r="B34" s="28">
        <f>A12-$A$34</f>
        <v>5</v>
      </c>
      <c r="C34" s="28"/>
      <c r="D34" s="28"/>
      <c r="E34" s="28"/>
      <c r="F34" s="28"/>
      <c r="G34" s="28"/>
      <c r="H34" s="28"/>
      <c r="I34" s="28"/>
      <c r="J34" s="28"/>
      <c r="K34" s="28"/>
      <c r="L34" s="28"/>
      <c r="M34" s="28"/>
    </row>
    <row r="35" spans="1:13" ht="18" hidden="1">
      <c r="A35" s="28"/>
      <c r="B35" s="28">
        <f>A14-$A$34</f>
        <v>0</v>
      </c>
      <c r="C35" s="28"/>
      <c r="D35" s="28"/>
      <c r="E35" s="28"/>
      <c r="F35" s="28"/>
      <c r="G35" s="28"/>
      <c r="H35" s="28"/>
      <c r="I35" s="28"/>
      <c r="J35" s="28"/>
      <c r="K35" s="28"/>
      <c r="L35" s="28"/>
      <c r="M35" s="28"/>
    </row>
    <row r="36" spans="1:13" ht="18" hidden="1">
      <c r="A36" s="28"/>
      <c r="B36" s="28"/>
      <c r="C36" s="28"/>
      <c r="D36" s="28"/>
      <c r="E36" s="28"/>
      <c r="F36" s="28"/>
      <c r="G36" s="28"/>
      <c r="H36" s="28"/>
      <c r="I36" s="28"/>
      <c r="J36" s="28"/>
      <c r="K36" s="28"/>
      <c r="L36" s="28"/>
      <c r="M36" s="28"/>
    </row>
    <row r="37" spans="1:13" ht="18" hidden="1">
      <c r="A37" s="28"/>
      <c r="B37" s="28">
        <f>A18-$A$34</f>
        <v>11</v>
      </c>
      <c r="C37" s="28"/>
      <c r="D37" s="28"/>
      <c r="E37" s="28"/>
      <c r="F37" s="28"/>
      <c r="G37" s="28"/>
      <c r="H37" s="28"/>
      <c r="I37" s="28"/>
      <c r="J37" s="28"/>
      <c r="K37" s="28"/>
      <c r="L37" s="28"/>
      <c r="M37" s="28"/>
    </row>
    <row r="38" spans="1:13" ht="18" hidden="1">
      <c r="A38" s="28"/>
      <c r="B38" s="28">
        <f>A20-$A$34</f>
        <v>15</v>
      </c>
      <c r="C38" s="28"/>
      <c r="D38" s="28"/>
      <c r="E38" s="28"/>
      <c r="F38" s="28"/>
      <c r="G38" s="28"/>
      <c r="H38" s="28"/>
      <c r="I38" s="28"/>
      <c r="J38" s="28"/>
      <c r="K38" s="28"/>
      <c r="L38" s="28"/>
      <c r="M38" s="28"/>
    </row>
    <row r="39" spans="1:13" ht="18" hidden="1">
      <c r="A39" s="166"/>
      <c r="B39" s="166"/>
      <c r="C39" s="167" t="s">
        <v>94</v>
      </c>
      <c r="D39" s="168">
        <f>IF(D12&lt;&gt;"",D12-D11,"")</f>
      </c>
      <c r="E39" s="168">
        <f aca="true" t="shared" si="5" ref="E39:L39">IF(E12&lt;&gt;"",E12-E11,"")</f>
      </c>
      <c r="F39" s="168">
        <f t="shared" si="5"/>
      </c>
      <c r="G39" s="168">
        <f t="shared" si="5"/>
      </c>
      <c r="H39" s="168">
        <f t="shared" si="5"/>
      </c>
      <c r="I39" s="168">
        <f t="shared" si="5"/>
      </c>
      <c r="J39" s="168">
        <f t="shared" si="5"/>
      </c>
      <c r="K39" s="168">
        <f t="shared" si="5"/>
      </c>
      <c r="L39" s="168">
        <f t="shared" si="5"/>
      </c>
      <c r="M39" s="113"/>
    </row>
    <row r="40" spans="1:13" ht="18" hidden="1">
      <c r="A40" s="169"/>
      <c r="B40" s="169"/>
      <c r="C40" s="170" t="s">
        <v>95</v>
      </c>
      <c r="D40" s="171">
        <f>IF(D14&lt;&gt;"",D14-D13,"")</f>
      </c>
      <c r="E40" s="171">
        <f aca="true" t="shared" si="6" ref="E40:K40">IF(E14&lt;&gt;"",E14-E13,"")</f>
      </c>
      <c r="F40" s="171">
        <f t="shared" si="6"/>
      </c>
      <c r="G40" s="171">
        <f t="shared" si="6"/>
      </c>
      <c r="H40" s="171">
        <f t="shared" si="6"/>
      </c>
      <c r="I40" s="171">
        <f t="shared" si="6"/>
      </c>
      <c r="J40" s="171">
        <f t="shared" si="6"/>
      </c>
      <c r="K40" s="171">
        <f t="shared" si="6"/>
      </c>
      <c r="L40" s="171">
        <f>IF(L14&lt;&gt;"",L14-L13,"")</f>
      </c>
      <c r="M40" s="113"/>
    </row>
    <row r="41" spans="1:13" ht="18" hidden="1">
      <c r="A41" s="169"/>
      <c r="B41" s="169"/>
      <c r="C41" s="170" t="s">
        <v>98</v>
      </c>
      <c r="D41" s="172">
        <f>IF(D39&lt;&gt;"",IF(D40&lt;&gt;"",MIN(D39:D40),D39),D40)</f>
      </c>
      <c r="E41" s="172">
        <f aca="true" t="shared" si="7" ref="E41:L41">IF(E39&lt;&gt;"",IF(E40&lt;&gt;"",MIN(E39:E40),E39),E40)</f>
      </c>
      <c r="F41" s="172">
        <f t="shared" si="7"/>
      </c>
      <c r="G41" s="172">
        <f t="shared" si="7"/>
      </c>
      <c r="H41" s="172">
        <f t="shared" si="7"/>
      </c>
      <c r="I41" s="172">
        <f t="shared" si="7"/>
      </c>
      <c r="J41" s="172">
        <f t="shared" si="7"/>
      </c>
      <c r="K41" s="172">
        <f t="shared" si="7"/>
      </c>
      <c r="L41" s="172">
        <f t="shared" si="7"/>
      </c>
      <c r="M41" s="113"/>
    </row>
    <row r="42" spans="1:13" ht="18" hidden="1">
      <c r="A42" s="169"/>
      <c r="B42" s="169"/>
      <c r="C42" s="170" t="s">
        <v>96</v>
      </c>
      <c r="D42" s="172">
        <f>IF(D41&lt;&gt;"",IF(D46&lt;&gt;"",IF(D41&lt;D46,1,IF(D41=D46,1/2,0)),""),"")</f>
      </c>
      <c r="E42" s="172">
        <f aca="true" t="shared" si="8" ref="E42:L42">IF(E41&lt;&gt;"",IF(E46&lt;&gt;"",IF(E41&lt;E46,1,IF(E41=E46,1/2,0)),""),"")</f>
      </c>
      <c r="F42" s="172">
        <f t="shared" si="8"/>
      </c>
      <c r="G42" s="172">
        <f t="shared" si="8"/>
      </c>
      <c r="H42" s="172">
        <f t="shared" si="8"/>
      </c>
      <c r="I42" s="172">
        <f t="shared" si="8"/>
      </c>
      <c r="J42" s="172">
        <f t="shared" si="8"/>
      </c>
      <c r="K42" s="172">
        <f t="shared" si="8"/>
      </c>
      <c r="L42" s="172">
        <f t="shared" si="8"/>
      </c>
      <c r="M42" s="113"/>
    </row>
    <row r="43" spans="1:13" ht="18" hidden="1">
      <c r="A43" s="169"/>
      <c r="B43" s="169"/>
      <c r="C43" s="173" t="s">
        <v>97</v>
      </c>
      <c r="D43" s="174">
        <f>IF(D41&lt;&gt;"",IF(D41&lt;D$6,1,IF(D41=D$6,1/2,0)),"")</f>
      </c>
      <c r="E43" s="174">
        <f aca="true" t="shared" si="9" ref="E43:L43">IF(E41&lt;&gt;"",IF(E41&lt;E$6,1,IF(E41=E$6,1/2,0)),"")</f>
      </c>
      <c r="F43" s="174">
        <f t="shared" si="9"/>
      </c>
      <c r="G43" s="174">
        <f t="shared" si="9"/>
      </c>
      <c r="H43" s="174">
        <f t="shared" si="9"/>
      </c>
      <c r="I43" s="174">
        <f t="shared" si="9"/>
      </c>
      <c r="J43" s="174">
        <f t="shared" si="9"/>
      </c>
      <c r="K43" s="174">
        <f t="shared" si="9"/>
      </c>
      <c r="L43" s="174">
        <f t="shared" si="9"/>
      </c>
      <c r="M43" s="113"/>
    </row>
    <row r="44" spans="1:13" ht="18" hidden="1">
      <c r="A44" s="169"/>
      <c r="B44" s="1"/>
      <c r="C44" s="167" t="s">
        <v>94</v>
      </c>
      <c r="D44" s="168">
        <f>IF(D18&lt;&gt;"",D18-D17,"")</f>
      </c>
      <c r="E44" s="168">
        <f aca="true" t="shared" si="10" ref="E44:L44">IF(E18&lt;&gt;"",E18-E17,"")</f>
      </c>
      <c r="F44" s="168">
        <f t="shared" si="10"/>
      </c>
      <c r="G44" s="168">
        <f t="shared" si="10"/>
      </c>
      <c r="H44" s="168">
        <f t="shared" si="10"/>
      </c>
      <c r="I44" s="168">
        <f t="shared" si="10"/>
      </c>
      <c r="J44" s="168">
        <f t="shared" si="10"/>
      </c>
      <c r="K44" s="168">
        <f t="shared" si="10"/>
      </c>
      <c r="L44" s="168">
        <f t="shared" si="10"/>
      </c>
      <c r="M44" s="113"/>
    </row>
    <row r="45" spans="1:13" ht="18" hidden="1">
      <c r="A45" s="169"/>
      <c r="B45" s="1"/>
      <c r="C45" s="170" t="s">
        <v>95</v>
      </c>
      <c r="D45" s="171">
        <f>IF(D20&lt;&gt;"",D20-D19,"")</f>
      </c>
      <c r="E45" s="171">
        <f>IF(E20&lt;&gt;"",E20-E19,"")</f>
      </c>
      <c r="F45" s="171">
        <f aca="true" t="shared" si="11" ref="F45:L45">IF(F20&lt;&gt;"",F20-F19,"")</f>
      </c>
      <c r="G45" s="171">
        <f t="shared" si="11"/>
      </c>
      <c r="H45" s="171">
        <f t="shared" si="11"/>
      </c>
      <c r="I45" s="171">
        <f t="shared" si="11"/>
      </c>
      <c r="J45" s="171">
        <f t="shared" si="11"/>
      </c>
      <c r="K45" s="171">
        <f t="shared" si="11"/>
      </c>
      <c r="L45" s="171">
        <f t="shared" si="11"/>
      </c>
      <c r="M45" s="113"/>
    </row>
    <row r="46" spans="1:13" ht="18" hidden="1">
      <c r="A46" s="169"/>
      <c r="B46" s="1"/>
      <c r="C46" s="170" t="s">
        <v>98</v>
      </c>
      <c r="D46" s="172">
        <f>IF(D44&lt;&gt;"",IF(D45&lt;&gt;"",MIN(D44:D45),D44),D45)</f>
      </c>
      <c r="E46" s="172">
        <f aca="true" t="shared" si="12" ref="E46:L46">IF(E44&lt;&gt;"",IF(E45&lt;&gt;"",MIN(E44:E45),E44),E45)</f>
      </c>
      <c r="F46" s="172">
        <f t="shared" si="12"/>
      </c>
      <c r="G46" s="172">
        <f t="shared" si="12"/>
      </c>
      <c r="H46" s="172">
        <f t="shared" si="12"/>
      </c>
      <c r="I46" s="172">
        <f t="shared" si="12"/>
      </c>
      <c r="J46" s="172">
        <f t="shared" si="12"/>
      </c>
      <c r="K46" s="172">
        <f t="shared" si="12"/>
      </c>
      <c r="L46" s="172">
        <f t="shared" si="12"/>
      </c>
      <c r="M46" s="113"/>
    </row>
    <row r="47" spans="1:13" ht="18" hidden="1">
      <c r="A47" s="169"/>
      <c r="B47" s="1"/>
      <c r="C47" s="170" t="s">
        <v>96</v>
      </c>
      <c r="D47" s="172">
        <f>IF(D46&lt;&gt;"",IF(D41&lt;&gt;"",IF(D46&lt;D41,1,IF(D46=D41,1/2,0)),""),"")</f>
      </c>
      <c r="E47" s="172">
        <f aca="true" t="shared" si="13" ref="E47:L47">IF(E46&lt;&gt;"",IF(E41&lt;&gt;"",IF(E46&lt;E41,1,IF(E46=E41,1/2,0)),""),"")</f>
      </c>
      <c r="F47" s="172">
        <f t="shared" si="13"/>
      </c>
      <c r="G47" s="172">
        <f t="shared" si="13"/>
      </c>
      <c r="H47" s="172">
        <f t="shared" si="13"/>
      </c>
      <c r="I47" s="172">
        <f t="shared" si="13"/>
      </c>
      <c r="J47" s="172">
        <f t="shared" si="13"/>
      </c>
      <c r="K47" s="172">
        <f t="shared" si="13"/>
      </c>
      <c r="L47" s="172">
        <f t="shared" si="13"/>
      </c>
      <c r="M47" s="113"/>
    </row>
    <row r="48" spans="1:13" ht="18" hidden="1">
      <c r="A48" s="169"/>
      <c r="B48" s="1"/>
      <c r="C48" s="173" t="s">
        <v>97</v>
      </c>
      <c r="D48" s="174">
        <f>IF(D46&lt;&gt;"",IF(D46&lt;D$6,1,IF(D46=D$6,1/2,0)),"")</f>
      </c>
      <c r="E48" s="174">
        <f aca="true" t="shared" si="14" ref="E48:L48">IF(E46&lt;&gt;"",IF(E46&lt;E$6,1,IF(E46=E$6,1/2,0)),"")</f>
      </c>
      <c r="F48" s="174">
        <f t="shared" si="14"/>
      </c>
      <c r="G48" s="174">
        <f t="shared" si="14"/>
      </c>
      <c r="H48" s="174">
        <f t="shared" si="14"/>
      </c>
      <c r="I48" s="174">
        <f t="shared" si="14"/>
      </c>
      <c r="J48" s="174">
        <f t="shared" si="14"/>
      </c>
      <c r="K48" s="174">
        <f t="shared" si="14"/>
      </c>
      <c r="L48" s="174">
        <f t="shared" si="14"/>
      </c>
      <c r="M48" s="113"/>
    </row>
    <row r="49" spans="1:13" ht="18" hidden="1">
      <c r="A49" s="169"/>
      <c r="B49" s="98"/>
      <c r="C49" s="171"/>
      <c r="D49" s="171"/>
      <c r="E49" s="171"/>
      <c r="F49" s="175"/>
      <c r="G49" s="176"/>
      <c r="H49" s="176"/>
      <c r="I49" s="28"/>
      <c r="J49" s="28"/>
      <c r="K49" s="28"/>
      <c r="L49" s="28"/>
      <c r="M49" s="113"/>
    </row>
    <row r="50" spans="1:13" ht="18" hidden="1">
      <c r="A50" s="169"/>
      <c r="B50" s="99" t="str">
        <f>$N$12&amp;"A"</f>
        <v>6A</v>
      </c>
      <c r="C50" s="171"/>
      <c r="D50" s="171"/>
      <c r="E50" s="171"/>
      <c r="F50" s="175"/>
      <c r="G50" s="176"/>
      <c r="H50" s="176"/>
      <c r="I50" s="28"/>
      <c r="J50" s="28"/>
      <c r="K50" s="28"/>
      <c r="L50" s="28"/>
      <c r="M50" s="113"/>
    </row>
    <row r="51" spans="1:13" ht="18" hidden="1">
      <c r="A51" s="169"/>
      <c r="B51" s="117"/>
      <c r="C51" s="171"/>
      <c r="D51" s="171"/>
      <c r="E51" s="171"/>
      <c r="F51" s="175"/>
      <c r="G51" s="176"/>
      <c r="H51" s="176"/>
      <c r="I51" s="28"/>
      <c r="J51" s="28"/>
      <c r="K51" s="28"/>
      <c r="L51" s="28"/>
      <c r="M51" s="113"/>
    </row>
    <row r="52" spans="1:13" ht="18" hidden="1">
      <c r="A52" s="169"/>
      <c r="B52" s="99" t="str">
        <f>$N$12&amp;"B"</f>
        <v>6B</v>
      </c>
      <c r="C52" s="171"/>
      <c r="D52" s="171"/>
      <c r="E52" s="171"/>
      <c r="F52" s="175"/>
      <c r="G52" s="176"/>
      <c r="H52" s="176"/>
      <c r="I52" s="28"/>
      <c r="J52" s="28"/>
      <c r="K52" s="28"/>
      <c r="L52" s="28"/>
      <c r="M52" s="113"/>
    </row>
    <row r="53" spans="1:13" ht="18" hidden="1">
      <c r="A53" s="169"/>
      <c r="B53" s="100"/>
      <c r="C53" s="171"/>
      <c r="D53" s="171"/>
      <c r="E53" s="171"/>
      <c r="F53" s="175"/>
      <c r="G53" s="176"/>
      <c r="H53" s="176"/>
      <c r="I53" s="28"/>
      <c r="J53" s="28"/>
      <c r="K53" s="28"/>
      <c r="L53" s="28"/>
      <c r="M53" s="113"/>
    </row>
    <row r="54" spans="1:13" ht="18" hidden="1">
      <c r="A54" s="51"/>
      <c r="B54" s="101"/>
      <c r="C54" s="51"/>
      <c r="D54" s="51"/>
      <c r="E54" s="51"/>
      <c r="F54" s="51"/>
      <c r="G54" s="51"/>
      <c r="H54" s="51"/>
      <c r="I54" s="1"/>
      <c r="J54" s="28"/>
      <c r="K54" s="28"/>
      <c r="L54" s="28"/>
      <c r="M54" s="113"/>
    </row>
    <row r="55" spans="1:13" ht="18" hidden="1">
      <c r="A55" s="51"/>
      <c r="B55" s="117"/>
      <c r="C55" s="51"/>
      <c r="D55" s="51"/>
      <c r="E55" s="51"/>
      <c r="F55" s="51"/>
      <c r="G55" s="51"/>
      <c r="H55" s="51"/>
      <c r="I55" s="1"/>
      <c r="J55" s="28"/>
      <c r="K55" s="28"/>
      <c r="L55" s="28"/>
      <c r="M55" s="113"/>
    </row>
    <row r="56" spans="1:13" ht="15.75" hidden="1">
      <c r="A56" s="51"/>
      <c r="B56" s="99" t="str">
        <f>$N$18&amp;"A"</f>
        <v>12A</v>
      </c>
      <c r="C56" s="51"/>
      <c r="D56" s="51"/>
      <c r="E56" s="51"/>
      <c r="F56" s="51"/>
      <c r="G56" s="51"/>
      <c r="H56" s="51"/>
      <c r="I56" s="1"/>
      <c r="J56" s="1"/>
      <c r="K56" s="1"/>
      <c r="L56" s="1"/>
      <c r="M56" s="9"/>
    </row>
    <row r="57" spans="1:13" ht="15.75" hidden="1">
      <c r="A57" s="177"/>
      <c r="B57" s="117"/>
      <c r="C57" s="51"/>
      <c r="D57" s="51"/>
      <c r="E57" s="51"/>
      <c r="F57" s="51"/>
      <c r="G57" s="51"/>
      <c r="H57" s="51"/>
      <c r="I57" s="1"/>
      <c r="J57" s="1"/>
      <c r="K57" s="1"/>
      <c r="L57" s="1"/>
      <c r="M57" s="9"/>
    </row>
    <row r="58" spans="1:13" ht="15.75" hidden="1">
      <c r="A58" s="177"/>
      <c r="B58" s="99" t="str">
        <f>$N$18&amp;"B"</f>
        <v>12B</v>
      </c>
      <c r="C58" s="51"/>
      <c r="D58" s="51"/>
      <c r="E58" s="51"/>
      <c r="F58" s="51"/>
      <c r="G58" s="51"/>
      <c r="H58" s="51"/>
      <c r="I58" s="1"/>
      <c r="J58" s="1"/>
      <c r="K58" s="1"/>
      <c r="L58" s="1"/>
      <c r="M58" s="9"/>
    </row>
    <row r="59" spans="1:13" ht="15.75">
      <c r="A59" s="177"/>
      <c r="B59" s="51"/>
      <c r="C59" s="51"/>
      <c r="D59" s="51"/>
      <c r="E59" s="51"/>
      <c r="F59" s="51"/>
      <c r="G59" s="51"/>
      <c r="H59" s="51"/>
      <c r="I59" s="1"/>
      <c r="J59" s="1"/>
      <c r="K59" s="1"/>
      <c r="L59" s="1"/>
      <c r="M59" s="9"/>
    </row>
    <row r="60" spans="1:12" ht="15.75">
      <c r="A60" s="177"/>
      <c r="B60" s="51"/>
      <c r="C60" s="51"/>
      <c r="D60" s="51"/>
      <c r="E60" s="51"/>
      <c r="F60" s="51"/>
      <c r="G60" s="51"/>
      <c r="H60" s="51"/>
      <c r="I60" s="1"/>
      <c r="J60" s="1"/>
      <c r="K60" s="1"/>
      <c r="L60" s="1"/>
    </row>
    <row r="61" spans="1:8" ht="15.75">
      <c r="A61" s="64"/>
      <c r="B61" s="46"/>
      <c r="C61" s="46"/>
      <c r="D61" s="46"/>
      <c r="E61" s="46"/>
      <c r="F61" s="46"/>
      <c r="G61" s="46"/>
      <c r="H61" s="46"/>
    </row>
    <row r="62" spans="1:8" ht="15.75">
      <c r="A62" s="64"/>
      <c r="B62" s="46"/>
      <c r="C62" s="46"/>
      <c r="D62" s="46"/>
      <c r="E62" s="46"/>
      <c r="F62" s="46"/>
      <c r="G62" s="46"/>
      <c r="H62" s="46"/>
    </row>
    <row r="63" ht="15.75">
      <c r="A63" s="60"/>
    </row>
    <row r="64" ht="15.75">
      <c r="A64" s="60"/>
    </row>
    <row r="65" ht="15.75">
      <c r="A65" s="60"/>
    </row>
    <row r="66" ht="15.75">
      <c r="A66" s="60"/>
    </row>
    <row r="67" ht="15.75">
      <c r="A67" s="60"/>
    </row>
    <row r="68" ht="15.75">
      <c r="A68" s="60"/>
    </row>
    <row r="69" ht="15.75">
      <c r="A69" s="60"/>
    </row>
    <row r="70" ht="15.75">
      <c r="A70" s="60"/>
    </row>
    <row r="71" ht="12.75">
      <c r="A71" s="4"/>
    </row>
    <row r="72" ht="12.75">
      <c r="A72" s="4"/>
    </row>
  </sheetData>
  <sheetProtection sheet="1" objects="1" scenarios="1"/>
  <mergeCells count="10">
    <mergeCell ref="A7:C7"/>
    <mergeCell ref="A8:C8"/>
    <mergeCell ref="A9:C9"/>
    <mergeCell ref="A22:M22"/>
    <mergeCell ref="A5:C5"/>
    <mergeCell ref="A6:C6"/>
    <mergeCell ref="A1:M1"/>
    <mergeCell ref="A2:M2"/>
    <mergeCell ref="A3:M3"/>
    <mergeCell ref="A4:C4"/>
  </mergeCells>
  <conditionalFormatting sqref="M20 D17:L17 M12 M14:M16 M18 D19:L19 D11:L11 D13:L13">
    <cfRule type="cellIs" priority="1" dxfId="0" operator="equal" stopIfTrue="1">
      <formula>0</formula>
    </cfRule>
  </conditionalFormatting>
  <printOptions/>
  <pageMargins left="0.75" right="0.75" top="1" bottom="1" header="0.5" footer="0.5"/>
  <pageSetup fitToHeight="1" fitToWidth="1" horizontalDpi="600" verticalDpi="600" orientation="portrait"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Bittner</dc:creator>
  <cp:keywords/>
  <dc:description/>
  <cp:lastModifiedBy>Ralph Romano</cp:lastModifiedBy>
  <cp:lastPrinted>2006-08-09T18:15:44Z</cp:lastPrinted>
  <dcterms:created xsi:type="dcterms:W3CDTF">2005-09-15T13:27:45Z</dcterms:created>
  <dcterms:modified xsi:type="dcterms:W3CDTF">2006-08-09T18:15:58Z</dcterms:modified>
  <cp:category/>
  <cp:version/>
  <cp:contentType/>
  <cp:contentStatus/>
</cp:coreProperties>
</file>